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pgl-my.sharepoint.com/personal/hannah_rhodes_spglobal_com/Documents/Documents/IGG/ESG/ESG Disclosures/IHSM/"/>
    </mc:Choice>
  </mc:AlternateContent>
  <xr:revisionPtr revIDLastSave="29" documentId="8_{124E8504-9DFB-4A3D-A178-A1AEB6175916}" xr6:coauthVersionLast="47" xr6:coauthVersionMax="47" xr10:uidLastSave="{30421B72-96F8-44B5-AF8C-2FCC1F519EA2}"/>
  <workbookProtection workbookAlgorithmName="SHA-512" workbookHashValue="KIcNLkYE4vdME/zDd+FCtVWNrnAXcHwkI3Q8JILwu9fDYN5OUIJV6VozqDY1JQs5TiuyZDVKxrJpKM1okvIG8w==" workbookSaltValue="6fmBjNOG2ldrpaBEjVWt+w==" workbookSpinCount="100000" lockStructure="1"/>
  <bookViews>
    <workbookView xWindow="-110" yWindow="-110" windowWidth="19420" windowHeight="10420" xr2:uid="{095A96BA-3361-4328-B58D-E08E9B89869C}"/>
  </bookViews>
  <sheets>
    <sheet name="Front Cover" sheetId="42" r:id="rId1"/>
    <sheet name="I. ESG Factors Report - FI (1)" sheetId="21" r:id="rId2"/>
    <sheet name="I. ESG Factors Report - FI (2)" sheetId="40" r:id="rId3"/>
    <sheet name="I. ESG Factors Report - FI (3)" sheetId="41" r:id="rId4"/>
    <sheet name="II. EU CTB &amp; PAB Report" sheetId="2" r:id="rId5"/>
    <sheet name="FAQs " sheetId="44" r:id="rId6"/>
    <sheet name="Index List" sheetId="28" state="hidden" r:id="rId7"/>
    <sheet name="Appendices" sheetId="34" r:id="rId8"/>
    <sheet name="General Disclaimer " sheetId="48" r:id="rId9"/>
    <sheet name="General Disclaimer" sheetId="45" state="hidden" r:id="rId10"/>
    <sheet name="Performance Disclosure" sheetId="46" state="hidden" r:id="rId11"/>
    <sheet name="Database - FI" sheetId="37" state="hidden" r:id="rId12"/>
    <sheet name="PAB_CTB_Database" sheetId="35" state="hidden" r:id="rId13"/>
    <sheet name="REF" sheetId="5" state="hidden" r:id="rId14"/>
    <sheet name="PAB+CTB LISTS" sheetId="36" state="hidden" r:id="rId15"/>
  </sheets>
  <externalReferences>
    <externalReference r:id="rId16"/>
  </externalReferences>
  <definedNames>
    <definedName name="_7__Self_Decarbonization_Trajectory" localSheetId="7">OFFSET(Appendices!#REF!,,,COUNTIF(Appendices!#REF!,"&lt;&gt;"))</definedName>
    <definedName name="_7__Self_Decarbonization_Trajectory" localSheetId="5">OFFSET('FAQs '!#REF!,,,COUNTIF('FAQs '!#REF!,"&lt;&gt;"))</definedName>
    <definedName name="_7__Self_Decarbonization_Trajectory" localSheetId="0">OFFSET('Front Cover'!#REF!,,,COUNTIF('Front Cover'!#REF!,"&lt;&gt;"))</definedName>
    <definedName name="_7__Self_Decarbonization_Trajectory" localSheetId="9">OFFSET('General Disclaimer'!#REF!,,,COUNTIF('General Disclaimer'!#REF!,"&lt;&gt;"))</definedName>
    <definedName name="_7__Self_Decarbonization_Trajectory" localSheetId="1">OFFSET('I. ESG Factors Report - FI (1)'!#REF!,,,COUNTIF('I. ESG Factors Report - FI (1)'!#REF!,"&lt;&gt;"))</definedName>
    <definedName name="_7__Self_Decarbonization_Trajectory" localSheetId="2">OFFSET('I. ESG Factors Report - FI (2)'!#REF!,,,COUNTIF('I. ESG Factors Report - FI (2)'!#REF!,"&lt;&gt;"))</definedName>
    <definedName name="_7__Self_Decarbonization_Trajectory" localSheetId="3">OFFSET('I. ESG Factors Report - FI (3)'!#REF!,,,COUNTIF('I. ESG Factors Report - FI (3)'!#REF!,"&lt;&gt;"))</definedName>
    <definedName name="_7__Self_Decarbonization_Trajectory" localSheetId="6">OFFSET('Index List'!#REF!,,,COUNTIF('Index List'!#REF!,"&lt;&gt;"))</definedName>
    <definedName name="_7__Self_Decarbonization_Trajectory" localSheetId="10">OFFSET('Performance Disclosure'!#REF!,,,COUNTIF('Performance Disclosure'!#REF!,"&lt;&gt;"))</definedName>
    <definedName name="_7__Self_Decarbonization_Trajectory">OFFSET('II. EU CTB &amp; PAB Report'!#REF!,,,COUNTIF('II. EU CTB &amp; PAB Report'!#REF!,"&lt;&gt;"))</definedName>
    <definedName name="_xlnm._FilterDatabase" localSheetId="11" hidden="1">'Database - FI'!$A$3:$DK$143</definedName>
    <definedName name="_xlnm._FilterDatabase" localSheetId="12" hidden="1">PAB_CTB_Database!$B$3:$AE$843</definedName>
    <definedName name="Climate_Transition_Index___EVIC_Inflation_Adjusted_WACI" localSheetId="7">OFFSET(Appendices!#REF!,,,COUNTIF(Appendices!#REF!,"&lt;&gt;"))</definedName>
    <definedName name="Climate_Transition_Index___EVIC_Inflation_Adjusted_WACI" localSheetId="5">OFFSET('FAQs '!#REF!,,,COUNTIF('FAQs '!#REF!,"&lt;&gt;"))</definedName>
    <definedName name="Climate_Transition_Index___EVIC_Inflation_Adjusted_WACI" localSheetId="0">OFFSET('Front Cover'!#REF!,,,COUNTIF('Front Cover'!#REF!,"&lt;&gt;"))</definedName>
    <definedName name="Climate_Transition_Index___EVIC_Inflation_Adjusted_WACI" localSheetId="9">OFFSET('General Disclaimer'!#REF!,,,COUNTIF('General Disclaimer'!#REF!,"&lt;&gt;"))</definedName>
    <definedName name="Climate_Transition_Index___EVIC_Inflation_Adjusted_WACI" localSheetId="1">OFFSET('I. ESG Factors Report - FI (1)'!#REF!,,,COUNTIF('I. ESG Factors Report - FI (1)'!#REF!,"&lt;&gt;"))</definedName>
    <definedName name="Climate_Transition_Index___EVIC_Inflation_Adjusted_WACI" localSheetId="2">OFFSET('I. ESG Factors Report - FI (2)'!#REF!,,,COUNTIF('I. ESG Factors Report - FI (2)'!#REF!,"&lt;&gt;"))</definedName>
    <definedName name="Climate_Transition_Index___EVIC_Inflation_Adjusted_WACI" localSheetId="3">OFFSET('I. ESG Factors Report - FI (3)'!#REF!,,,COUNTIF('I. ESG Factors Report - FI (3)'!#REF!,"&lt;&gt;"))</definedName>
    <definedName name="Climate_Transition_Index___EVIC_Inflation_Adjusted_WACI" localSheetId="6">OFFSET('Index List'!#REF!,,,COUNTIF('Index List'!#REF!,"&lt;&gt;"))</definedName>
    <definedName name="Climate_Transition_Index___EVIC_Inflation_Adjusted_WACI" localSheetId="10">OFFSET('Performance Disclosure'!#REF!,,,COUNTIF('Performance Disclosure'!#REF!,"&lt;&gt;"))</definedName>
    <definedName name="Climate_Transition_Index___EVIC_Inflation_Adjusted_WACI">OFFSET('II. EU CTB &amp; PAB Report'!#REF!,,,COUNTIF('II. EU CTB &amp; PAB Report'!#REF!,"&lt;&gt;"))</definedName>
    <definedName name="EU_CTB_Decarbonization_Target___Min_A_B" localSheetId="7">OFFSET(Appendices!#REF!,,,COUNTIF(Appendices!#REF!,"&lt;&gt;"))</definedName>
    <definedName name="EU_CTB_Decarbonization_Target___Min_A_B" localSheetId="5">OFFSET('FAQs '!#REF!,,,COUNTIF('FAQs '!#REF!,"&lt;&gt;"))</definedName>
    <definedName name="EU_CTB_Decarbonization_Target___Min_A_B" localSheetId="0">OFFSET('Front Cover'!#REF!,,,COUNTIF('Front Cover'!#REF!,"&lt;&gt;"))</definedName>
    <definedName name="EU_CTB_Decarbonization_Target___Min_A_B" localSheetId="9">OFFSET('General Disclaimer'!#REF!,,,COUNTIF('General Disclaimer'!#REF!,"&lt;&gt;"))</definedName>
    <definedName name="EU_CTB_Decarbonization_Target___Min_A_B" localSheetId="1">OFFSET('I. ESG Factors Report - FI (1)'!#REF!,,,COUNTIF('I. ESG Factors Report - FI (1)'!#REF!,"&lt;&gt;"))</definedName>
    <definedName name="EU_CTB_Decarbonization_Target___Min_A_B" localSheetId="2">OFFSET('I. ESG Factors Report - FI (2)'!#REF!,,,COUNTIF('I. ESG Factors Report - FI (2)'!#REF!,"&lt;&gt;"))</definedName>
    <definedName name="EU_CTB_Decarbonization_Target___Min_A_B" localSheetId="3">OFFSET('I. ESG Factors Report - FI (3)'!#REF!,,,COUNTIF('I. ESG Factors Report - FI (3)'!#REF!,"&lt;&gt;"))</definedName>
    <definedName name="EU_CTB_Decarbonization_Target___Min_A_B" localSheetId="6">OFFSET('Index List'!#REF!,,,COUNTIF('Index List'!#REF!,"&lt;&gt;"))</definedName>
    <definedName name="EU_CTB_Decarbonization_Target___Min_A_B" localSheetId="10">OFFSET('Performance Disclosure'!#REF!,,,COUNTIF('Performance Disclosure'!#REF!,"&lt;&gt;"))</definedName>
    <definedName name="EU_CTB_Decarbonization_Target___Min_A_B">OFFSET('II. EU CTB &amp; PAB Report'!#REF!,,,COUNTIF('II. EU CTB &amp; PAB Report'!#REF!,"&lt;&gt;"))</definedName>
    <definedName name="Index_Methodology_Decarbonization_Target__Min_A_B___5__Buffer" localSheetId="7">OFFSET(Appendices!#REF!,,,COUNTIF(Appendices!#REF!,"&lt;&gt;"))</definedName>
    <definedName name="Index_Methodology_Decarbonization_Target__Min_A_B___5__Buffer" localSheetId="5">OFFSET('FAQs '!#REF!,,,COUNTIF('FAQs '!#REF!,"&lt;&gt;"))</definedName>
    <definedName name="Index_Methodology_Decarbonization_Target__Min_A_B___5__Buffer" localSheetId="0">OFFSET('Front Cover'!#REF!,,,COUNTIF('Front Cover'!#REF!,"&lt;&gt;"))</definedName>
    <definedName name="Index_Methodology_Decarbonization_Target__Min_A_B___5__Buffer" localSheetId="9">OFFSET('General Disclaimer'!#REF!,,,COUNTIF('General Disclaimer'!#REF!,"&lt;&gt;"))</definedName>
    <definedName name="Index_Methodology_Decarbonization_Target__Min_A_B___5__Buffer" localSheetId="1">OFFSET('I. ESG Factors Report - FI (1)'!#REF!,,,COUNTIF('I. ESG Factors Report - FI (1)'!#REF!,"&lt;&gt;"))</definedName>
    <definedName name="Index_Methodology_Decarbonization_Target__Min_A_B___5__Buffer" localSheetId="2">OFFSET('I. ESG Factors Report - FI (2)'!#REF!,,,COUNTIF('I. ESG Factors Report - FI (2)'!#REF!,"&lt;&gt;"))</definedName>
    <definedName name="Index_Methodology_Decarbonization_Target__Min_A_B___5__Buffer" localSheetId="3">OFFSET('I. ESG Factors Report - FI (3)'!#REF!,,,COUNTIF('I. ESG Factors Report - FI (3)'!#REF!,"&lt;&gt;"))</definedName>
    <definedName name="Index_Methodology_Decarbonization_Target__Min_A_B___5__Buffer" localSheetId="6">OFFSET('Index List'!#REF!,,,COUNTIF('Index List'!#REF!,"&lt;&gt;"))</definedName>
    <definedName name="Index_Methodology_Decarbonization_Target__Min_A_B___5__Buffer" localSheetId="10">OFFSET('Performance Disclosure'!#REF!,,,COUNTIF('Performance Disclosure'!#REF!,"&lt;&gt;"))</definedName>
    <definedName name="Index_Methodology_Decarbonization_Target__Min_A_B___5__Buffer">OFFSET('II. EU CTB &amp; PAB Report'!#REF!,,,COUNTIF('II. EU CTB &amp; PAB Report'!#REF!,"&lt;&gt;"))</definedName>
    <definedName name="Index_name_formats_to_be_removed">'[1]Batch 2 request list'!$K$2:$K$5</definedName>
    <definedName name="IndexRebalanceEffectiveDate" localSheetId="7">OFFSET(Appendices!#REF!,,,COUNTIF(Appendices!#REF!,"&lt;&gt;"))</definedName>
    <definedName name="IndexRebalanceEffectiveDate" localSheetId="5">OFFSET('FAQs '!#REF!,,,COUNTIF('FAQs '!#REF!,"&lt;&gt;"))</definedName>
    <definedName name="IndexRebalanceEffectiveDate" localSheetId="0">OFFSET('Front Cover'!#REF!,,,COUNTIF('Front Cover'!#REF!,"&lt;&gt;"))</definedName>
    <definedName name="IndexRebalanceEffectiveDate" localSheetId="9">OFFSET('General Disclaimer'!#REF!,,,COUNTIF('General Disclaimer'!#REF!,"&lt;&gt;"))</definedName>
    <definedName name="IndexRebalanceEffectiveDate" localSheetId="1">OFFSET('I. ESG Factors Report - FI (1)'!#REF!,,,COUNTIF('I. ESG Factors Report - FI (1)'!#REF!,"&lt;&gt;"))</definedName>
    <definedName name="IndexRebalanceEffectiveDate" localSheetId="2">OFFSET('I. ESG Factors Report - FI (2)'!#REF!,,,COUNTIF('I. ESG Factors Report - FI (2)'!#REF!,"&lt;&gt;"))</definedName>
    <definedName name="IndexRebalanceEffectiveDate" localSheetId="3">OFFSET('I. ESG Factors Report - FI (3)'!#REF!,,,COUNTIF('I. ESG Factors Report - FI (3)'!#REF!,"&lt;&gt;"))</definedName>
    <definedName name="IndexRebalanceEffectiveDate" localSheetId="6">OFFSET('Index List'!#REF!,,,COUNTIF('Index List'!#REF!,"&lt;&gt;"))</definedName>
    <definedName name="IndexRebalanceEffectiveDate" localSheetId="10">OFFSET('Performance Disclosure'!#REF!,,,COUNTIF('Performance Disclosure'!#REF!,"&lt;&gt;"))</definedName>
    <definedName name="IndexRebalanceEffectiveDate">OFFSET('II. EU CTB &amp; PAB Report'!$C$27,,,COUNTIF('II. EU CTB &amp; PAB Report'!$C$27:$C$146,"&lt;&gt;"))</definedName>
    <definedName name="IndexRebalanceReferenceDate" localSheetId="7">OFFSET(Appendices!#REF!,,,COUNTIF(Appendices!#REF!,"&lt;&gt;"))</definedName>
    <definedName name="IndexRebalanceReferenceDate" localSheetId="5">OFFSET('FAQs '!#REF!,,,COUNTIF('FAQs '!#REF!,"&lt;&gt;"))</definedName>
    <definedName name="IndexRebalanceReferenceDate" localSheetId="0">OFFSET('Front Cover'!#REF!,,,COUNTIF('Front Cover'!#REF!,"&lt;&gt;"))</definedName>
    <definedName name="IndexRebalanceReferenceDate" localSheetId="9">OFFSET('General Disclaimer'!#REF!,,,COUNTIF('General Disclaimer'!#REF!,"&lt;&gt;"))</definedName>
    <definedName name="IndexRebalanceReferenceDate" localSheetId="1">OFFSET('I. ESG Factors Report - FI (1)'!#REF!,,,COUNTIF('I. ESG Factors Report - FI (1)'!#REF!,"&lt;&gt;"))</definedName>
    <definedName name="IndexRebalanceReferenceDate" localSheetId="2">OFFSET('I. ESG Factors Report - FI (2)'!#REF!,,,COUNTIF('I. ESG Factors Report - FI (2)'!#REF!,"&lt;&gt;"))</definedName>
    <definedName name="IndexRebalanceReferenceDate" localSheetId="3">OFFSET('I. ESG Factors Report - FI (3)'!#REF!,,,COUNTIF('I. ESG Factors Report - FI (3)'!#REF!,"&lt;&gt;"))</definedName>
    <definedName name="IndexRebalanceReferenceDate" localSheetId="6">OFFSET('Index List'!#REF!,,,COUNTIF('Index List'!#REF!,"&lt;&gt;"))</definedName>
    <definedName name="IndexRebalanceReferenceDate" localSheetId="10">OFFSET('Performance Disclosure'!#REF!,,,COUNTIF('Performance Disclosure'!#REF!,"&lt;&gt;"))</definedName>
    <definedName name="IndexRebalanceReferenceDate">OFFSET('II. EU CTB &amp; PAB Report'!$C$27,,,COUNTIF('II. EU CTB &amp; PAB Report'!$C$27:$C$146,"&lt;&gt;"))</definedName>
    <definedName name="_xlnm.Print_Area" localSheetId="7">Appendices!$A$1:$X$66</definedName>
    <definedName name="_xlnm.Print_Area" localSheetId="5">'FAQs '!$A$1:$Z$61</definedName>
    <definedName name="_xlnm.Print_Area" localSheetId="0">'Front Cover'!$A$1:$Z$65</definedName>
    <definedName name="_xlnm.Print_Area" localSheetId="9">'General Disclaimer'!$A$1:$X$68</definedName>
    <definedName name="_xlnm.Print_Area" localSheetId="1">'I. ESG Factors Report - FI (1)'!$A$1:$Z$80</definedName>
    <definedName name="_xlnm.Print_Area" localSheetId="2">'I. ESG Factors Report - FI (2)'!$A$1:$Z$77</definedName>
    <definedName name="_xlnm.Print_Area" localSheetId="3">'I. ESG Factors Report - FI (3)'!$A$1:$Z$79</definedName>
    <definedName name="_xlnm.Print_Area" localSheetId="4">'II. EU CTB &amp; PAB Report'!$A$1:$S$154</definedName>
    <definedName name="_xlnm.Print_Area" localSheetId="6">'Index List'!$A$1:$W$88</definedName>
    <definedName name="_xlnm.Print_Area" localSheetId="10">'Performance Disclosure'!$A$1:$X$68</definedName>
    <definedName name="Universe_Index__EVIC_Inflation_Adjusted_WACI" localSheetId="7">OFFSET(Appendices!#REF!,,,COUNTIF(Appendices!#REF!,"&lt;&gt;"))</definedName>
    <definedName name="Universe_Index__EVIC_Inflation_Adjusted_WACI" localSheetId="5">OFFSET('FAQs '!#REF!,,,COUNTIF('FAQs '!#REF!,"&lt;&gt;"))</definedName>
    <definedName name="Universe_Index__EVIC_Inflation_Adjusted_WACI" localSheetId="0">OFFSET('Front Cover'!#REF!,,,COUNTIF('Front Cover'!#REF!,"&lt;&gt;"))</definedName>
    <definedName name="Universe_Index__EVIC_Inflation_Adjusted_WACI" localSheetId="9">OFFSET('General Disclaimer'!#REF!,,,COUNTIF('General Disclaimer'!#REF!,"&lt;&gt;"))</definedName>
    <definedName name="Universe_Index__EVIC_Inflation_Adjusted_WACI" localSheetId="1">OFFSET('I. ESG Factors Report - FI (1)'!#REF!,,,COUNTIF('I. ESG Factors Report - FI (1)'!#REF!,"&lt;&gt;"))</definedName>
    <definedName name="Universe_Index__EVIC_Inflation_Adjusted_WACI" localSheetId="2">OFFSET('I. ESG Factors Report - FI (2)'!#REF!,,,COUNTIF('I. ESG Factors Report - FI (2)'!#REF!,"&lt;&gt;"))</definedName>
    <definedName name="Universe_Index__EVIC_Inflation_Adjusted_WACI" localSheetId="3">OFFSET('I. ESG Factors Report - FI (3)'!#REF!,,,COUNTIF('I. ESG Factors Report - FI (3)'!#REF!,"&lt;&gt;"))</definedName>
    <definedName name="Universe_Index__EVIC_Inflation_Adjusted_WACI" localSheetId="6">OFFSET('Index List'!#REF!,,,COUNTIF('Index List'!#REF!,"&lt;&gt;"))</definedName>
    <definedName name="Universe_Index__EVIC_Inflation_Adjusted_WACI" localSheetId="10">OFFSET('Performance Disclosure'!#REF!,,,COUNTIF('Performance Disclosure'!#REF!,"&lt;&gt;"))</definedName>
    <definedName name="Universe_Index__EVIC_Inflation_Adjusted_WACI">OFFSET('II. EU CTB &amp; PAB Report'!$I$27,,,COUNTIF('II. EU CTB &amp; PAB Report'!$I$27:$I$146,"&lt;&gt;"))</definedName>
    <definedName name="UniverseIndex30EVICInflationAdjustedWACI" localSheetId="7">OFFSET(Appendices!#REF!,,,COUNTIF(Appendices!#REF!,"&lt;&gt;"))</definedName>
    <definedName name="UniverseIndex30EVICInflationAdjustedWACI" localSheetId="5">OFFSET('FAQs '!#REF!,,,COUNTIF('FAQs '!#REF!,"&lt;&gt;"))</definedName>
    <definedName name="UniverseIndex30EVICInflationAdjustedWACI" localSheetId="0">OFFSET('Front Cover'!#REF!,,,COUNTIF('Front Cover'!#REF!,"&lt;&gt;"))</definedName>
    <definedName name="UniverseIndex30EVICInflationAdjustedWACI" localSheetId="9">OFFSET('General Disclaimer'!#REF!,,,COUNTIF('General Disclaimer'!#REF!,"&lt;&gt;"))</definedName>
    <definedName name="UniverseIndex30EVICInflationAdjustedWACI" localSheetId="1">OFFSET('I. ESG Factors Report - FI (1)'!#REF!,,,COUNTIF('I. ESG Factors Report - FI (1)'!#REF!,"&lt;&gt;"))</definedName>
    <definedName name="UniverseIndex30EVICInflationAdjustedWACI" localSheetId="2">OFFSET('I. ESG Factors Report - FI (2)'!#REF!,,,COUNTIF('I. ESG Factors Report - FI (2)'!#REF!,"&lt;&gt;"))</definedName>
    <definedName name="UniverseIndex30EVICInflationAdjustedWACI" localSheetId="3">OFFSET('I. ESG Factors Report - FI (3)'!#REF!,,,COUNTIF('I. ESG Factors Report - FI (3)'!#REF!,"&lt;&gt;"))</definedName>
    <definedName name="UniverseIndex30EVICInflationAdjustedWACI" localSheetId="6">OFFSET('Index List'!#REF!,,,COUNTIF('Index List'!#REF!,"&lt;&gt;"))</definedName>
    <definedName name="UniverseIndex30EVICInflationAdjustedWACI" localSheetId="10">OFFSET('Performance Disclosure'!#REF!,,,COUNTIF('Performance Disclosure'!#REF!,"&lt;&gt;"))</definedName>
    <definedName name="UniverseIndex30EVICInflationAdjustedWACI">OFFSET('II. EU CTB &amp; PAB Report'!$J$27,,,COUNTIF('II. EU CTB &amp; PAB Report'!$J$27:$J$146,"&lt;&gt;"))</definedName>
    <definedName name="UniverseIndexWACI" localSheetId="7">OFFSET(Appendices!#REF!,,,COUNTIF(Appendices!#REF!,"&lt;&gt;"))</definedName>
    <definedName name="UniverseIndexWACI" localSheetId="5">OFFSET('FAQs '!#REF!,,,COUNTIF('FAQs '!#REF!,"&lt;&gt;"))</definedName>
    <definedName name="UniverseIndexWACI" localSheetId="0">OFFSET('Front Cover'!#REF!,,,COUNTIF('Front Cover'!#REF!,"&lt;&gt;"))</definedName>
    <definedName name="UniverseIndexWACI" localSheetId="9">OFFSET('General Disclaimer'!#REF!,,,COUNTIF('General Disclaimer'!#REF!,"&lt;&gt;"))</definedName>
    <definedName name="UniverseIndexWACI" localSheetId="1">OFFSET('I. ESG Factors Report - FI (1)'!#REF!,,,COUNTIF('I. ESG Factors Report - FI (1)'!#REF!,"&lt;&gt;"))</definedName>
    <definedName name="UniverseIndexWACI" localSheetId="2">OFFSET('I. ESG Factors Report - FI (2)'!#REF!,,,COUNTIF('I. ESG Factors Report - FI (2)'!#REF!,"&lt;&gt;"))</definedName>
    <definedName name="UniverseIndexWACI" localSheetId="3">OFFSET('I. ESG Factors Report - FI (3)'!#REF!,,,COUNTIF('I. ESG Factors Report - FI (3)'!#REF!,"&lt;&gt;"))</definedName>
    <definedName name="UniverseIndexWACI" localSheetId="6">OFFSET('Index List'!#REF!,,,COUNTIF('Index List'!#REF!,"&lt;&gt;"))</definedName>
    <definedName name="UniverseIndexWACI" localSheetId="10">OFFSET('Performance Disclosure'!#REF!,,,COUNTIF('Performance Disclosure'!#REF!,"&lt;&gt;"))</definedName>
    <definedName name="UniverseIndexWACI">OFFSET('II. EU CTB &amp; PAB Report'!$D$27,,,COUNTIF('II. EU CTB &amp; PAB Report'!$D$27:$D$146,"&lt;&gt;"))</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46" l="1"/>
  <c r="W3" i="45"/>
  <c r="W3" i="34"/>
  <c r="V3" i="28"/>
  <c r="B139" i="37"/>
  <c r="B140" i="37"/>
  <c r="B141" i="37"/>
  <c r="B142" i="37"/>
  <c r="B143" i="37"/>
  <c r="R3" i="2"/>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96" i="37"/>
  <c r="Y3" i="41"/>
  <c r="Y3" i="40"/>
  <c r="Y3" i="21"/>
  <c r="B5" i="37" l="1"/>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4" i="37"/>
  <c r="I8" i="21" s="1"/>
  <c r="I12" i="41"/>
  <c r="I10" i="41"/>
  <c r="I10" i="40"/>
  <c r="I12" i="40"/>
  <c r="B2" i="37"/>
  <c r="W19" i="41" l="1"/>
  <c r="Q31" i="41" s="1"/>
  <c r="W19" i="21"/>
  <c r="Q68" i="21" s="1"/>
  <c r="I8" i="40"/>
  <c r="W19" i="40"/>
  <c r="Q32" i="40" s="1"/>
  <c r="M25" i="21"/>
  <c r="K18" i="21"/>
  <c r="K18" i="40" s="1"/>
  <c r="M37" i="21"/>
  <c r="K19" i="21"/>
  <c r="K19" i="40" s="1"/>
  <c r="M38" i="21"/>
  <c r="M31" i="21"/>
  <c r="M33" i="21"/>
  <c r="I16" i="21"/>
  <c r="I16" i="40" s="1"/>
  <c r="M35" i="21"/>
  <c r="I18" i="21"/>
  <c r="I18" i="40" s="1"/>
  <c r="M27" i="21"/>
  <c r="I19" i="21"/>
  <c r="I19" i="40" s="1"/>
  <c r="M28" i="21"/>
  <c r="I14" i="21"/>
  <c r="M70" i="21" s="1"/>
  <c r="J266" i="35"/>
  <c r="J275" i="35"/>
  <c r="AA123" i="35"/>
  <c r="AA122" i="35"/>
  <c r="AA121" i="35"/>
  <c r="AA120" i="35"/>
  <c r="AA119" i="35"/>
  <c r="AA118" i="35"/>
  <c r="AA117" i="35"/>
  <c r="AA116" i="35"/>
  <c r="AA115" i="35"/>
  <c r="AA114" i="35"/>
  <c r="AA113" i="35"/>
  <c r="AA112" i="35"/>
  <c r="AA111" i="35"/>
  <c r="AA110" i="35"/>
  <c r="AA109" i="35"/>
  <c r="AA108" i="35"/>
  <c r="AA107" i="35"/>
  <c r="AA106" i="35"/>
  <c r="AA105" i="35"/>
  <c r="AA104" i="35"/>
  <c r="AA103" i="35"/>
  <c r="AA102" i="35"/>
  <c r="AA101" i="35"/>
  <c r="AA100" i="35"/>
  <c r="AA99" i="35"/>
  <c r="AA98" i="35"/>
  <c r="AA97" i="35"/>
  <c r="AA96" i="35"/>
  <c r="AA95" i="35"/>
  <c r="AA94" i="35"/>
  <c r="AA93" i="35"/>
  <c r="AA92" i="35"/>
  <c r="AA91" i="35"/>
  <c r="AA90" i="35"/>
  <c r="AA89" i="35"/>
  <c r="AA88" i="35"/>
  <c r="AA87" i="35"/>
  <c r="AA86" i="35"/>
  <c r="AA85" i="35"/>
  <c r="AA84" i="35"/>
  <c r="AA83" i="35"/>
  <c r="AA82" i="35"/>
  <c r="AA81" i="35"/>
  <c r="AA80" i="35"/>
  <c r="AA79" i="35"/>
  <c r="AA78" i="35"/>
  <c r="AA77" i="35"/>
  <c r="AA76" i="35"/>
  <c r="AA75" i="35"/>
  <c r="AA74" i="35"/>
  <c r="AA73" i="35"/>
  <c r="AA72" i="35"/>
  <c r="AA71" i="35"/>
  <c r="AA70" i="35"/>
  <c r="AA69" i="35"/>
  <c r="AA68" i="35"/>
  <c r="AA67" i="35"/>
  <c r="AA66" i="35"/>
  <c r="AA65" i="35"/>
  <c r="AA64" i="35"/>
  <c r="AA63" i="35"/>
  <c r="AA62" i="35"/>
  <c r="AA61" i="35"/>
  <c r="AA60" i="35"/>
  <c r="AA59" i="35"/>
  <c r="AA58" i="35"/>
  <c r="AA57" i="35"/>
  <c r="AA56" i="35"/>
  <c r="AA55" i="35"/>
  <c r="AA54" i="35"/>
  <c r="AA53" i="35"/>
  <c r="AA52" i="35"/>
  <c r="AA51" i="35"/>
  <c r="AA50" i="35"/>
  <c r="AA49" i="35"/>
  <c r="AA48" i="35"/>
  <c r="AA47" i="35"/>
  <c r="AA46" i="35"/>
  <c r="AA45" i="35"/>
  <c r="AA44" i="35"/>
  <c r="AA43" i="35"/>
  <c r="AA42" i="35"/>
  <c r="AA41" i="35"/>
  <c r="AA40" i="35"/>
  <c r="AA39" i="35"/>
  <c r="AA38" i="35"/>
  <c r="AA37" i="35"/>
  <c r="AA36" i="35"/>
  <c r="AA35" i="35"/>
  <c r="AA34" i="35"/>
  <c r="AA33" i="35"/>
  <c r="AA32" i="35"/>
  <c r="AA31" i="35"/>
  <c r="AA30" i="35"/>
  <c r="AA29" i="35"/>
  <c r="AA28" i="35"/>
  <c r="AA27" i="35"/>
  <c r="AA26" i="35"/>
  <c r="AA25" i="35"/>
  <c r="AA24" i="35"/>
  <c r="AA23" i="35"/>
  <c r="AA22" i="35"/>
  <c r="AA21" i="35"/>
  <c r="AA20" i="35"/>
  <c r="AA19" i="35"/>
  <c r="AA18" i="35"/>
  <c r="AA17" i="35"/>
  <c r="AA16" i="35"/>
  <c r="AA15" i="35"/>
  <c r="AA14" i="35"/>
  <c r="AA13" i="35"/>
  <c r="AA12" i="35"/>
  <c r="AA11" i="35"/>
  <c r="AA10" i="35"/>
  <c r="AA9" i="35"/>
  <c r="AA8" i="35"/>
  <c r="AA7" i="35"/>
  <c r="AA6" i="35"/>
  <c r="AA5" i="35"/>
  <c r="AA4" i="35"/>
  <c r="R5" i="35"/>
  <c r="W5" i="35"/>
  <c r="R6" i="35"/>
  <c r="W6" i="35"/>
  <c r="R7" i="35"/>
  <c r="W7" i="35"/>
  <c r="R8" i="35"/>
  <c r="W8" i="35"/>
  <c r="R9" i="35"/>
  <c r="W9" i="35"/>
  <c r="R10" i="35"/>
  <c r="W10" i="35"/>
  <c r="R11" i="35"/>
  <c r="W11" i="35"/>
  <c r="R12" i="35"/>
  <c r="W12" i="35"/>
  <c r="R13" i="35"/>
  <c r="W13" i="35"/>
  <c r="R14" i="35"/>
  <c r="W14" i="35"/>
  <c r="R15" i="35"/>
  <c r="W15" i="35"/>
  <c r="R16" i="35"/>
  <c r="W16" i="35"/>
  <c r="R17" i="35"/>
  <c r="W17" i="35"/>
  <c r="R18" i="35"/>
  <c r="W18" i="35"/>
  <c r="R19" i="35"/>
  <c r="W19" i="35"/>
  <c r="R20" i="35"/>
  <c r="W20" i="35"/>
  <c r="R21" i="35"/>
  <c r="W21" i="35"/>
  <c r="R22" i="35"/>
  <c r="W22" i="35"/>
  <c r="R23" i="35"/>
  <c r="W23" i="35"/>
  <c r="R24" i="35"/>
  <c r="W24" i="35"/>
  <c r="R25" i="35"/>
  <c r="W25" i="35"/>
  <c r="R26" i="35"/>
  <c r="W26" i="35"/>
  <c r="R27" i="35"/>
  <c r="W27" i="35"/>
  <c r="R28" i="35"/>
  <c r="W28" i="35"/>
  <c r="R29" i="35"/>
  <c r="W29" i="35"/>
  <c r="R30" i="35"/>
  <c r="W30" i="35"/>
  <c r="R31" i="35"/>
  <c r="W31" i="35"/>
  <c r="R32" i="35"/>
  <c r="W32" i="35"/>
  <c r="R33" i="35"/>
  <c r="W33" i="35"/>
  <c r="R34" i="35"/>
  <c r="W34" i="35"/>
  <c r="R35" i="35"/>
  <c r="W35" i="35"/>
  <c r="R36" i="35"/>
  <c r="W36" i="35"/>
  <c r="R37" i="35"/>
  <c r="W37" i="35"/>
  <c r="R38" i="35"/>
  <c r="W38" i="35"/>
  <c r="R39" i="35"/>
  <c r="W39" i="35"/>
  <c r="R40" i="35"/>
  <c r="W40" i="35"/>
  <c r="R41" i="35"/>
  <c r="W41" i="35"/>
  <c r="R42" i="35"/>
  <c r="W42" i="35"/>
  <c r="R43" i="35"/>
  <c r="W43" i="35"/>
  <c r="R44" i="35"/>
  <c r="W44" i="35"/>
  <c r="R45" i="35"/>
  <c r="W45" i="35"/>
  <c r="R46" i="35"/>
  <c r="W46" i="35"/>
  <c r="R47" i="35"/>
  <c r="W47" i="35"/>
  <c r="R48" i="35"/>
  <c r="W48" i="35"/>
  <c r="R49" i="35"/>
  <c r="W49" i="35"/>
  <c r="R50" i="35"/>
  <c r="W50" i="35"/>
  <c r="R51" i="35"/>
  <c r="W51" i="35"/>
  <c r="R52" i="35"/>
  <c r="W52" i="35"/>
  <c r="R53" i="35"/>
  <c r="W53" i="35"/>
  <c r="R54" i="35"/>
  <c r="W54" i="35"/>
  <c r="R55" i="35"/>
  <c r="W55" i="35"/>
  <c r="R56" i="35"/>
  <c r="W56" i="35"/>
  <c r="R57" i="35"/>
  <c r="W57" i="35"/>
  <c r="R58" i="35"/>
  <c r="W58" i="35"/>
  <c r="R59" i="35"/>
  <c r="W59" i="35"/>
  <c r="R60" i="35"/>
  <c r="W60" i="35"/>
  <c r="R61" i="35"/>
  <c r="W61" i="35"/>
  <c r="R62" i="35"/>
  <c r="W62" i="35"/>
  <c r="R63" i="35"/>
  <c r="W63" i="35"/>
  <c r="R64" i="35"/>
  <c r="W64" i="35"/>
  <c r="R65" i="35"/>
  <c r="W65" i="35"/>
  <c r="R66" i="35"/>
  <c r="W66" i="35"/>
  <c r="R67" i="35"/>
  <c r="W67" i="35"/>
  <c r="R68" i="35"/>
  <c r="W68" i="35"/>
  <c r="R69" i="35"/>
  <c r="W69" i="35"/>
  <c r="R70" i="35"/>
  <c r="W70" i="35"/>
  <c r="R71" i="35"/>
  <c r="W71" i="35"/>
  <c r="R72" i="35"/>
  <c r="W72" i="35"/>
  <c r="R73" i="35"/>
  <c r="W73" i="35"/>
  <c r="R74" i="35"/>
  <c r="W74" i="35"/>
  <c r="R75" i="35"/>
  <c r="W75" i="35"/>
  <c r="R76" i="35"/>
  <c r="W76" i="35"/>
  <c r="R77" i="35"/>
  <c r="W77" i="35"/>
  <c r="R78" i="35"/>
  <c r="W78" i="35"/>
  <c r="R79" i="35"/>
  <c r="W79" i="35"/>
  <c r="R80" i="35"/>
  <c r="W80" i="35"/>
  <c r="R81" i="35"/>
  <c r="W81" i="35"/>
  <c r="R82" i="35"/>
  <c r="W82" i="35"/>
  <c r="R83" i="35"/>
  <c r="W83" i="35"/>
  <c r="R84" i="35"/>
  <c r="W84" i="35"/>
  <c r="R85" i="35"/>
  <c r="W85" i="35"/>
  <c r="R86" i="35"/>
  <c r="W86" i="35"/>
  <c r="R87" i="35"/>
  <c r="W87" i="35"/>
  <c r="R88" i="35"/>
  <c r="W88" i="35"/>
  <c r="R89" i="35"/>
  <c r="W89" i="35"/>
  <c r="R90" i="35"/>
  <c r="W90" i="35"/>
  <c r="R91" i="35"/>
  <c r="W91" i="35"/>
  <c r="R92" i="35"/>
  <c r="W92" i="35"/>
  <c r="R93" i="35"/>
  <c r="W93" i="35"/>
  <c r="R94" i="35"/>
  <c r="W94" i="35"/>
  <c r="R95" i="35"/>
  <c r="W95" i="35"/>
  <c r="R96" i="35"/>
  <c r="W96" i="35"/>
  <c r="R97" i="35"/>
  <c r="W97" i="35"/>
  <c r="R98" i="35"/>
  <c r="W98" i="35"/>
  <c r="R99" i="35"/>
  <c r="W99" i="35"/>
  <c r="R100" i="35"/>
  <c r="W100" i="35"/>
  <c r="R101" i="35"/>
  <c r="W101" i="35"/>
  <c r="R102" i="35"/>
  <c r="W102" i="35"/>
  <c r="R103" i="35"/>
  <c r="W103" i="35"/>
  <c r="R104" i="35"/>
  <c r="W104" i="35"/>
  <c r="R105" i="35"/>
  <c r="W105" i="35"/>
  <c r="R106" i="35"/>
  <c r="W106" i="35"/>
  <c r="R107" i="35"/>
  <c r="W107" i="35"/>
  <c r="R108" i="35"/>
  <c r="W108" i="35"/>
  <c r="R109" i="35"/>
  <c r="W109" i="35"/>
  <c r="R110" i="35"/>
  <c r="W110" i="35"/>
  <c r="R111" i="35"/>
  <c r="W111" i="35"/>
  <c r="R112" i="35"/>
  <c r="W112" i="35"/>
  <c r="R113" i="35"/>
  <c r="W113" i="35"/>
  <c r="R114" i="35"/>
  <c r="W114" i="35"/>
  <c r="R115" i="35"/>
  <c r="W115" i="35"/>
  <c r="R116" i="35"/>
  <c r="W116" i="35"/>
  <c r="R117" i="35"/>
  <c r="W117" i="35"/>
  <c r="R118" i="35"/>
  <c r="W118" i="35"/>
  <c r="R119" i="35"/>
  <c r="W119" i="35"/>
  <c r="R120" i="35"/>
  <c r="W120" i="35"/>
  <c r="R121" i="35"/>
  <c r="W121" i="35"/>
  <c r="R122" i="35"/>
  <c r="W122" i="35"/>
  <c r="R123" i="35"/>
  <c r="W123" i="35"/>
  <c r="W4" i="35"/>
  <c r="R4" i="35"/>
  <c r="B725" i="35"/>
  <c r="B726" i="35"/>
  <c r="B727" i="35"/>
  <c r="B728" i="35"/>
  <c r="B729" i="35"/>
  <c r="B730" i="35"/>
  <c r="B731" i="35"/>
  <c r="B732" i="35"/>
  <c r="B733" i="35"/>
  <c r="B734" i="35"/>
  <c r="B735" i="35"/>
  <c r="B736" i="35"/>
  <c r="B737" i="35"/>
  <c r="B738" i="35"/>
  <c r="B739" i="35"/>
  <c r="B740" i="35"/>
  <c r="B741" i="35"/>
  <c r="B742" i="35"/>
  <c r="B743" i="35"/>
  <c r="B744" i="35"/>
  <c r="B745" i="35"/>
  <c r="B746" i="35"/>
  <c r="B747" i="35"/>
  <c r="B748" i="35"/>
  <c r="B749" i="35"/>
  <c r="B750" i="35"/>
  <c r="B751" i="35"/>
  <c r="B752" i="35"/>
  <c r="B753" i="35"/>
  <c r="B754" i="35"/>
  <c r="B755" i="35"/>
  <c r="B756" i="35"/>
  <c r="B757" i="35"/>
  <c r="B758" i="35"/>
  <c r="B759" i="35"/>
  <c r="B760" i="35"/>
  <c r="B761" i="35"/>
  <c r="B762" i="35"/>
  <c r="B763" i="35"/>
  <c r="B764" i="35"/>
  <c r="B765" i="35"/>
  <c r="B766" i="35"/>
  <c r="B767" i="35"/>
  <c r="B768" i="35"/>
  <c r="B769" i="35"/>
  <c r="B770" i="35"/>
  <c r="B771" i="35"/>
  <c r="B772" i="35"/>
  <c r="B773" i="35"/>
  <c r="B774" i="35"/>
  <c r="B775" i="35"/>
  <c r="B776" i="35"/>
  <c r="B777" i="35"/>
  <c r="B778" i="35"/>
  <c r="B779" i="35"/>
  <c r="B780" i="35"/>
  <c r="B781" i="35"/>
  <c r="B782" i="35"/>
  <c r="B783" i="35"/>
  <c r="B784" i="35"/>
  <c r="B785" i="35"/>
  <c r="B786" i="35"/>
  <c r="B787" i="35"/>
  <c r="B788" i="35"/>
  <c r="B789" i="35"/>
  <c r="B790" i="35"/>
  <c r="B791" i="35"/>
  <c r="B792" i="35"/>
  <c r="B793" i="35"/>
  <c r="B794" i="35"/>
  <c r="B795" i="35"/>
  <c r="B796" i="35"/>
  <c r="B797" i="35"/>
  <c r="B798" i="35"/>
  <c r="B799" i="35"/>
  <c r="B800" i="35"/>
  <c r="B801" i="35"/>
  <c r="B802" i="35"/>
  <c r="B803" i="35"/>
  <c r="B804" i="35"/>
  <c r="B805" i="35"/>
  <c r="B806" i="35"/>
  <c r="B807" i="35"/>
  <c r="B808" i="35"/>
  <c r="B809" i="35"/>
  <c r="B810" i="35"/>
  <c r="B811" i="35"/>
  <c r="B812" i="35"/>
  <c r="B813" i="35"/>
  <c r="B814" i="35"/>
  <c r="B815" i="35"/>
  <c r="B816" i="35"/>
  <c r="B817" i="35"/>
  <c r="B818" i="35"/>
  <c r="B819" i="35"/>
  <c r="B820" i="35"/>
  <c r="B821" i="35"/>
  <c r="B822" i="35"/>
  <c r="B823" i="35"/>
  <c r="B824" i="35"/>
  <c r="B825" i="35"/>
  <c r="B826" i="35"/>
  <c r="B827" i="35"/>
  <c r="B828" i="35"/>
  <c r="B829" i="35"/>
  <c r="B830" i="35"/>
  <c r="B831" i="35"/>
  <c r="B832" i="35"/>
  <c r="B833" i="35"/>
  <c r="B834" i="35"/>
  <c r="B835" i="35"/>
  <c r="B836" i="35"/>
  <c r="B837" i="35"/>
  <c r="B838" i="35"/>
  <c r="B839" i="35"/>
  <c r="B840" i="35"/>
  <c r="B841" i="35"/>
  <c r="B842" i="35"/>
  <c r="B843" i="35"/>
  <c r="J738" i="35"/>
  <c r="J737" i="35"/>
  <c r="J736" i="35"/>
  <c r="J735" i="35"/>
  <c r="J734" i="35"/>
  <c r="J733" i="35"/>
  <c r="J732" i="35"/>
  <c r="J731" i="35"/>
  <c r="J730" i="35"/>
  <c r="J729" i="35"/>
  <c r="J728" i="35"/>
  <c r="J727" i="35"/>
  <c r="J726" i="35"/>
  <c r="J725" i="35"/>
  <c r="J724" i="35"/>
  <c r="K738" i="35" s="1"/>
  <c r="B483" i="35"/>
  <c r="B482" i="35"/>
  <c r="B481" i="35"/>
  <c r="B480" i="35"/>
  <c r="B479" i="35"/>
  <c r="B478" i="35"/>
  <c r="B477" i="35"/>
  <c r="B476" i="35"/>
  <c r="B475" i="35"/>
  <c r="B474" i="35"/>
  <c r="B473" i="35"/>
  <c r="B472" i="35"/>
  <c r="B471" i="35"/>
  <c r="B470" i="35"/>
  <c r="B469" i="35"/>
  <c r="B468" i="35"/>
  <c r="B467" i="35"/>
  <c r="B466" i="35"/>
  <c r="B465" i="35"/>
  <c r="B464" i="35"/>
  <c r="B463" i="35"/>
  <c r="B462" i="35"/>
  <c r="B461" i="35"/>
  <c r="B460" i="35"/>
  <c r="B459" i="35"/>
  <c r="B458" i="35"/>
  <c r="B457" i="35"/>
  <c r="B456" i="35"/>
  <c r="B455" i="35"/>
  <c r="B454" i="35"/>
  <c r="B453" i="35"/>
  <c r="B452" i="35"/>
  <c r="B451" i="35"/>
  <c r="B450" i="35"/>
  <c r="B449" i="35"/>
  <c r="B448" i="35"/>
  <c r="B447" i="35"/>
  <c r="B446" i="35"/>
  <c r="B445" i="35"/>
  <c r="B444" i="35"/>
  <c r="B443" i="35"/>
  <c r="B442" i="35"/>
  <c r="B441" i="35"/>
  <c r="B440" i="35"/>
  <c r="B439" i="35"/>
  <c r="B438" i="35"/>
  <c r="B437" i="35"/>
  <c r="B436" i="35"/>
  <c r="B435" i="35"/>
  <c r="B434" i="35"/>
  <c r="B433" i="35"/>
  <c r="B432" i="35"/>
  <c r="B431" i="35"/>
  <c r="B430" i="35"/>
  <c r="B429" i="35"/>
  <c r="B428" i="35"/>
  <c r="B427" i="35"/>
  <c r="B426" i="35"/>
  <c r="B425" i="35"/>
  <c r="B424" i="35"/>
  <c r="B423" i="35"/>
  <c r="B422" i="35"/>
  <c r="B421" i="35"/>
  <c r="B420" i="35"/>
  <c r="B419" i="35"/>
  <c r="B418" i="35"/>
  <c r="B417" i="35"/>
  <c r="B416" i="35"/>
  <c r="B415" i="35"/>
  <c r="B414" i="35"/>
  <c r="B413" i="35"/>
  <c r="B412" i="35"/>
  <c r="B411" i="35"/>
  <c r="B410" i="35"/>
  <c r="B409" i="35"/>
  <c r="B408" i="35"/>
  <c r="B407" i="35"/>
  <c r="B406" i="35"/>
  <c r="B405" i="35"/>
  <c r="B404" i="35"/>
  <c r="B403" i="35"/>
  <c r="B402" i="35"/>
  <c r="B401" i="35"/>
  <c r="B400" i="35"/>
  <c r="B399" i="35"/>
  <c r="B398" i="35"/>
  <c r="B397" i="35"/>
  <c r="B396" i="35"/>
  <c r="B395" i="35"/>
  <c r="B394" i="35"/>
  <c r="B393" i="35"/>
  <c r="B392" i="35"/>
  <c r="B391" i="35"/>
  <c r="B390" i="35"/>
  <c r="B389" i="35"/>
  <c r="B388" i="35"/>
  <c r="B387" i="35"/>
  <c r="B386" i="35"/>
  <c r="B385" i="35"/>
  <c r="B384" i="35"/>
  <c r="B383" i="35"/>
  <c r="B382" i="35"/>
  <c r="B381" i="35"/>
  <c r="B380" i="35"/>
  <c r="B379" i="35"/>
  <c r="B378" i="35"/>
  <c r="B377" i="35"/>
  <c r="B376" i="35"/>
  <c r="B375" i="35"/>
  <c r="B374" i="35"/>
  <c r="B373" i="35"/>
  <c r="B372" i="35"/>
  <c r="B371" i="35"/>
  <c r="B370" i="35"/>
  <c r="B369" i="35"/>
  <c r="B368" i="35"/>
  <c r="B367" i="35"/>
  <c r="B366" i="35"/>
  <c r="B365" i="35"/>
  <c r="B364" i="35"/>
  <c r="B724" i="35"/>
  <c r="J627" i="35"/>
  <c r="J626" i="35"/>
  <c r="J625" i="35"/>
  <c r="J624" i="35"/>
  <c r="J623" i="35"/>
  <c r="J622" i="35"/>
  <c r="J621" i="35"/>
  <c r="J620" i="35"/>
  <c r="J619" i="35"/>
  <c r="J618" i="35"/>
  <c r="J617" i="35"/>
  <c r="J616" i="35"/>
  <c r="J615" i="35"/>
  <c r="J614" i="35"/>
  <c r="J613" i="35"/>
  <c r="J612" i="35"/>
  <c r="J611" i="35"/>
  <c r="J610" i="35"/>
  <c r="J609" i="35"/>
  <c r="J608" i="35"/>
  <c r="J607" i="35"/>
  <c r="J606" i="35"/>
  <c r="J605" i="35"/>
  <c r="J604" i="35"/>
  <c r="K627" i="35" s="1"/>
  <c r="B723" i="35"/>
  <c r="B722" i="35"/>
  <c r="B721" i="35"/>
  <c r="B720" i="35"/>
  <c r="B719" i="35"/>
  <c r="B718" i="35"/>
  <c r="B717" i="35"/>
  <c r="B716" i="35"/>
  <c r="B715" i="35"/>
  <c r="B714" i="35"/>
  <c r="B713" i="35"/>
  <c r="B712" i="35"/>
  <c r="B711" i="35"/>
  <c r="B710" i="35"/>
  <c r="B709" i="35"/>
  <c r="B708" i="35"/>
  <c r="B707" i="35"/>
  <c r="B706" i="35"/>
  <c r="B705" i="35"/>
  <c r="B704" i="35"/>
  <c r="B703" i="35"/>
  <c r="B702" i="35"/>
  <c r="B701" i="35"/>
  <c r="B700" i="35"/>
  <c r="B699" i="35"/>
  <c r="B698" i="35"/>
  <c r="B697" i="35"/>
  <c r="B696" i="35"/>
  <c r="B695" i="35"/>
  <c r="B694" i="35"/>
  <c r="B693" i="35"/>
  <c r="B692" i="35"/>
  <c r="B691" i="35"/>
  <c r="B690" i="35"/>
  <c r="B689" i="35"/>
  <c r="B688" i="35"/>
  <c r="B687" i="35"/>
  <c r="B686" i="35"/>
  <c r="B685" i="35"/>
  <c r="B684" i="35"/>
  <c r="B683" i="35"/>
  <c r="B682" i="35"/>
  <c r="B681" i="35"/>
  <c r="B680" i="35"/>
  <c r="B679" i="35"/>
  <c r="B678" i="35"/>
  <c r="B677" i="35"/>
  <c r="B676" i="35"/>
  <c r="B675" i="35"/>
  <c r="B674" i="35"/>
  <c r="B673" i="35"/>
  <c r="B672" i="35"/>
  <c r="B671" i="35"/>
  <c r="B670" i="35"/>
  <c r="B669" i="35"/>
  <c r="B668" i="35"/>
  <c r="B667" i="35"/>
  <c r="B666" i="35"/>
  <c r="B665" i="35"/>
  <c r="B664" i="35"/>
  <c r="B663" i="35"/>
  <c r="B662" i="35"/>
  <c r="B661" i="35"/>
  <c r="B660" i="35"/>
  <c r="B659" i="35"/>
  <c r="B658" i="35"/>
  <c r="B657" i="35"/>
  <c r="B656" i="35"/>
  <c r="B655" i="35"/>
  <c r="B654" i="35"/>
  <c r="B653" i="35"/>
  <c r="B652" i="35"/>
  <c r="B651" i="35"/>
  <c r="B650" i="35"/>
  <c r="B649" i="35"/>
  <c r="B648" i="35"/>
  <c r="B647" i="35"/>
  <c r="B646" i="35"/>
  <c r="B645" i="35"/>
  <c r="B644" i="35"/>
  <c r="B643" i="35"/>
  <c r="B642" i="35"/>
  <c r="B641" i="35"/>
  <c r="B640" i="35"/>
  <c r="B639" i="35"/>
  <c r="B638" i="35"/>
  <c r="B637" i="35"/>
  <c r="B636" i="35"/>
  <c r="B635" i="35"/>
  <c r="B634" i="35"/>
  <c r="B633" i="35"/>
  <c r="B632" i="35"/>
  <c r="B631" i="35"/>
  <c r="B630" i="35"/>
  <c r="B629" i="35"/>
  <c r="B628" i="35"/>
  <c r="B627" i="35"/>
  <c r="B626" i="35"/>
  <c r="B625" i="35"/>
  <c r="B624" i="35"/>
  <c r="B623" i="35"/>
  <c r="B622" i="35"/>
  <c r="B621" i="35"/>
  <c r="B620" i="35"/>
  <c r="B619" i="35"/>
  <c r="B618" i="35"/>
  <c r="B617" i="35"/>
  <c r="B616" i="35"/>
  <c r="B615" i="35"/>
  <c r="B614" i="35"/>
  <c r="B613" i="35"/>
  <c r="B612" i="35"/>
  <c r="B611" i="35"/>
  <c r="B610" i="35"/>
  <c r="B609" i="35"/>
  <c r="B608" i="35"/>
  <c r="B607" i="35"/>
  <c r="B606" i="35"/>
  <c r="B605" i="35"/>
  <c r="B604" i="35"/>
  <c r="B245" i="35"/>
  <c r="B246" i="35"/>
  <c r="B247" i="35"/>
  <c r="B248" i="35"/>
  <c r="B249" i="35"/>
  <c r="B250" i="35"/>
  <c r="B251" i="35"/>
  <c r="B252" i="35"/>
  <c r="B253" i="35"/>
  <c r="B254" i="35"/>
  <c r="B255" i="35"/>
  <c r="B256" i="35"/>
  <c r="B257" i="35"/>
  <c r="B258" i="35"/>
  <c r="B259" i="35"/>
  <c r="B260" i="35"/>
  <c r="B261" i="35"/>
  <c r="B262" i="35"/>
  <c r="B263" i="35"/>
  <c r="B264" i="35"/>
  <c r="B265" i="35"/>
  <c r="B266" i="35"/>
  <c r="B267" i="35"/>
  <c r="B268" i="35"/>
  <c r="B269" i="35"/>
  <c r="B270" i="35"/>
  <c r="B271" i="35"/>
  <c r="B272" i="35"/>
  <c r="B273" i="35"/>
  <c r="B274" i="35"/>
  <c r="B275" i="35"/>
  <c r="B276" i="35"/>
  <c r="B277" i="35"/>
  <c r="B278" i="35"/>
  <c r="B279" i="35"/>
  <c r="B280" i="35"/>
  <c r="B281" i="35"/>
  <c r="B282" i="35"/>
  <c r="B283" i="35"/>
  <c r="B284" i="35"/>
  <c r="B285" i="35"/>
  <c r="B286" i="35"/>
  <c r="B287" i="35"/>
  <c r="B288" i="35"/>
  <c r="B289" i="35"/>
  <c r="B290" i="35"/>
  <c r="B291" i="35"/>
  <c r="B292" i="35"/>
  <c r="B293" i="35"/>
  <c r="B294" i="35"/>
  <c r="B295" i="35"/>
  <c r="B296" i="35"/>
  <c r="B297" i="35"/>
  <c r="B298" i="35"/>
  <c r="B299" i="35"/>
  <c r="B300" i="35"/>
  <c r="B301" i="35"/>
  <c r="B302" i="35"/>
  <c r="B303" i="35"/>
  <c r="B304" i="35"/>
  <c r="B305" i="35"/>
  <c r="B306" i="35"/>
  <c r="B307" i="35"/>
  <c r="B308" i="35"/>
  <c r="B309" i="35"/>
  <c r="B310" i="35"/>
  <c r="B311" i="35"/>
  <c r="B312" i="35"/>
  <c r="B313" i="35"/>
  <c r="B314" i="35"/>
  <c r="B315" i="35"/>
  <c r="B316" i="35"/>
  <c r="B317" i="35"/>
  <c r="B318" i="35"/>
  <c r="B319" i="35"/>
  <c r="B320" i="35"/>
  <c r="B321" i="35"/>
  <c r="B322" i="35"/>
  <c r="B323" i="35"/>
  <c r="B324" i="35"/>
  <c r="B325" i="35"/>
  <c r="B326" i="35"/>
  <c r="B327" i="35"/>
  <c r="B328" i="35"/>
  <c r="B329" i="35"/>
  <c r="B330" i="35"/>
  <c r="B331" i="35"/>
  <c r="B332" i="35"/>
  <c r="B333" i="35"/>
  <c r="B334" i="35"/>
  <c r="B335" i="35"/>
  <c r="B336" i="35"/>
  <c r="B337" i="35"/>
  <c r="B338" i="35"/>
  <c r="B339" i="35"/>
  <c r="B340" i="35"/>
  <c r="B341" i="35"/>
  <c r="B342" i="35"/>
  <c r="B343" i="35"/>
  <c r="B344" i="35"/>
  <c r="B345" i="35"/>
  <c r="B346" i="35"/>
  <c r="B347" i="35"/>
  <c r="B348" i="35"/>
  <c r="B349" i="35"/>
  <c r="B350" i="35"/>
  <c r="B351" i="35"/>
  <c r="B352" i="35"/>
  <c r="B353" i="35"/>
  <c r="B354" i="35"/>
  <c r="B355" i="35"/>
  <c r="B356" i="35"/>
  <c r="B357" i="35"/>
  <c r="B358" i="35"/>
  <c r="B359" i="35"/>
  <c r="B360" i="35"/>
  <c r="B361" i="35"/>
  <c r="B362" i="35"/>
  <c r="B363" i="35"/>
  <c r="B244" i="35"/>
  <c r="I8" i="41" l="1"/>
  <c r="Q52" i="41"/>
  <c r="Q25" i="21"/>
  <c r="Q25" i="41"/>
  <c r="Q49" i="21"/>
  <c r="Q41" i="41"/>
  <c r="Q35" i="21"/>
  <c r="Q31" i="21"/>
  <c r="Q57" i="41"/>
  <c r="Q33" i="21"/>
  <c r="Q62" i="41"/>
  <c r="Q26" i="41"/>
  <c r="Q33" i="40"/>
  <c r="M73" i="21"/>
  <c r="M72" i="21"/>
  <c r="M68" i="21"/>
  <c r="I16" i="41"/>
  <c r="K18" i="41"/>
  <c r="K19" i="41"/>
  <c r="I19" i="41"/>
  <c r="I18" i="41"/>
  <c r="I14" i="40"/>
  <c r="M47" i="21"/>
  <c r="M56" i="21"/>
  <c r="M46" i="21"/>
  <c r="M58" i="21"/>
  <c r="M51" i="21"/>
  <c r="M52" i="21" s="1"/>
  <c r="M66" i="21"/>
  <c r="M44" i="21"/>
  <c r="M60" i="21"/>
  <c r="M49" i="21"/>
  <c r="M65" i="21"/>
  <c r="M61" i="21"/>
  <c r="I14" i="41"/>
  <c r="M63" i="21"/>
  <c r="M55" i="21"/>
  <c r="K607" i="35"/>
  <c r="L607" i="35" s="1"/>
  <c r="M607" i="35" s="1"/>
  <c r="K611" i="35"/>
  <c r="L611" i="35" s="1"/>
  <c r="M611" i="35" s="1"/>
  <c r="K604" i="35"/>
  <c r="L604" i="35" s="1"/>
  <c r="M604" i="35" s="1"/>
  <c r="K727" i="35"/>
  <c r="L727" i="35" s="1"/>
  <c r="M727" i="35" s="1"/>
  <c r="K731" i="35"/>
  <c r="L731" i="35" s="1"/>
  <c r="M731" i="35" s="1"/>
  <c r="K735" i="35"/>
  <c r="L735" i="35" s="1"/>
  <c r="M735" i="35" s="1"/>
  <c r="K724" i="35"/>
  <c r="L724" i="35" s="1"/>
  <c r="M724" i="35" s="1"/>
  <c r="K732" i="35"/>
  <c r="L732" i="35" s="1"/>
  <c r="M732" i="35" s="1"/>
  <c r="K736" i="35"/>
  <c r="L736" i="35" s="1"/>
  <c r="M736" i="35" s="1"/>
  <c r="K728" i="35"/>
  <c r="L728" i="35" s="1"/>
  <c r="M728" i="35" s="1"/>
  <c r="K608" i="35"/>
  <c r="L608" i="35" s="1"/>
  <c r="M608" i="35" s="1"/>
  <c r="K725" i="35"/>
  <c r="L725" i="35" s="1"/>
  <c r="M725" i="35" s="1"/>
  <c r="K733" i="35"/>
  <c r="L733" i="35" s="1"/>
  <c r="M733" i="35" s="1"/>
  <c r="K737" i="35"/>
  <c r="L737" i="35" s="1"/>
  <c r="M737" i="35" s="1"/>
  <c r="K729" i="35"/>
  <c r="L729" i="35" s="1"/>
  <c r="M729" i="35" s="1"/>
  <c r="K726" i="35"/>
  <c r="L726" i="35" s="1"/>
  <c r="M726" i="35" s="1"/>
  <c r="K730" i="35"/>
  <c r="L730" i="35" s="1"/>
  <c r="M730" i="35" s="1"/>
  <c r="K734" i="35"/>
  <c r="L734" i="35" s="1"/>
  <c r="M734" i="35" s="1"/>
  <c r="L738" i="35"/>
  <c r="M738" i="35" s="1"/>
  <c r="K612" i="35"/>
  <c r="L612" i="35" s="1"/>
  <c r="M612" i="35" s="1"/>
  <c r="K616" i="35"/>
  <c r="L616" i="35" s="1"/>
  <c r="M616" i="35" s="1"/>
  <c r="K620" i="35"/>
  <c r="L620" i="35" s="1"/>
  <c r="M620" i="35" s="1"/>
  <c r="K624" i="35"/>
  <c r="L624" i="35" s="1"/>
  <c r="M624" i="35" s="1"/>
  <c r="K609" i="35"/>
  <c r="L609" i="35" s="1"/>
  <c r="M609" i="35" s="1"/>
  <c r="K617" i="35"/>
  <c r="L617" i="35" s="1"/>
  <c r="M617" i="35" s="1"/>
  <c r="K625" i="35"/>
  <c r="L625" i="35" s="1"/>
  <c r="M625" i="35" s="1"/>
  <c r="K605" i="35"/>
  <c r="L605" i="35" s="1"/>
  <c r="M605" i="35" s="1"/>
  <c r="K613" i="35"/>
  <c r="L613" i="35" s="1"/>
  <c r="M613" i="35" s="1"/>
  <c r="K621" i="35"/>
  <c r="L621" i="35" s="1"/>
  <c r="M621" i="35" s="1"/>
  <c r="K610" i="35"/>
  <c r="L610" i="35" s="1"/>
  <c r="M610" i="35" s="1"/>
  <c r="K618" i="35"/>
  <c r="L618" i="35" s="1"/>
  <c r="M618" i="35" s="1"/>
  <c r="K626" i="35"/>
  <c r="L626" i="35" s="1"/>
  <c r="M626" i="35" s="1"/>
  <c r="K606" i="35"/>
  <c r="L606" i="35" s="1"/>
  <c r="M606" i="35" s="1"/>
  <c r="K614" i="35"/>
  <c r="L614" i="35" s="1"/>
  <c r="M614" i="35" s="1"/>
  <c r="K622" i="35"/>
  <c r="L622" i="35" s="1"/>
  <c r="M622" i="35" s="1"/>
  <c r="L627" i="35"/>
  <c r="M627" i="35" s="1"/>
  <c r="K615" i="35"/>
  <c r="L615" i="35" s="1"/>
  <c r="M615" i="35" s="1"/>
  <c r="K619" i="35"/>
  <c r="L619" i="35" s="1"/>
  <c r="M619" i="35" s="1"/>
  <c r="K623" i="35"/>
  <c r="L623" i="35" s="1"/>
  <c r="M623" i="35" s="1"/>
  <c r="M55" i="41" l="1"/>
  <c r="M54" i="41"/>
  <c r="M25" i="40"/>
  <c r="M27" i="40"/>
  <c r="M59" i="40"/>
  <c r="M65" i="41"/>
  <c r="M64" i="41"/>
  <c r="M62" i="41"/>
  <c r="M57" i="41"/>
  <c r="M25" i="41"/>
  <c r="M26" i="41" s="1"/>
  <c r="M52" i="41"/>
  <c r="M36" i="41"/>
  <c r="M28" i="41"/>
  <c r="M33" i="41"/>
  <c r="M31" i="41"/>
  <c r="M29" i="41"/>
  <c r="M34" i="41"/>
  <c r="M53" i="21"/>
  <c r="M39" i="41"/>
  <c r="M38" i="41"/>
  <c r="M41" i="41"/>
  <c r="M60" i="41"/>
  <c r="M43" i="41"/>
  <c r="M59" i="41"/>
  <c r="M44" i="41"/>
  <c r="M48" i="40"/>
  <c r="M51" i="40"/>
  <c r="M30" i="40"/>
  <c r="M58" i="40"/>
  <c r="M56" i="40"/>
  <c r="M43" i="40"/>
  <c r="M50" i="40"/>
  <c r="M29" i="40"/>
  <c r="M35" i="40"/>
  <c r="M38" i="40"/>
  <c r="M46" i="40"/>
  <c r="M53" i="40"/>
  <c r="M55" i="40"/>
  <c r="M32" i="40"/>
  <c r="M33" i="40" s="1"/>
  <c r="M45" i="40"/>
  <c r="M61" i="40"/>
  <c r="M40" i="40"/>
  <c r="M62" i="40"/>
  <c r="M41" i="40"/>
  <c r="M36" i="40"/>
  <c r="J484" i="35"/>
  <c r="K484" i="35" s="1"/>
  <c r="J149" i="35"/>
  <c r="J150" i="35"/>
  <c r="J151" i="35"/>
  <c r="J152" i="35"/>
  <c r="J153" i="35"/>
  <c r="J154" i="35"/>
  <c r="J155" i="35"/>
  <c r="J156" i="35"/>
  <c r="J157" i="35"/>
  <c r="J158" i="35"/>
  <c r="J159" i="35"/>
  <c r="J160" i="35"/>
  <c r="J161" i="35"/>
  <c r="J162" i="35"/>
  <c r="J163" i="35"/>
  <c r="J164" i="35"/>
  <c r="J165" i="35"/>
  <c r="J166" i="35"/>
  <c r="J167" i="35"/>
  <c r="J168" i="35"/>
  <c r="J169" i="35"/>
  <c r="J170" i="35"/>
  <c r="J171" i="35"/>
  <c r="J172" i="35"/>
  <c r="J173" i="35"/>
  <c r="J174" i="35"/>
  <c r="J175" i="35"/>
  <c r="J176" i="35"/>
  <c r="J177" i="35"/>
  <c r="J178" i="35"/>
  <c r="J179" i="35"/>
  <c r="J180" i="35"/>
  <c r="J181" i="35"/>
  <c r="J182" i="35"/>
  <c r="J183" i="35"/>
  <c r="J184" i="35"/>
  <c r="J185" i="35"/>
  <c r="J186" i="35"/>
  <c r="J187" i="35"/>
  <c r="J188" i="35"/>
  <c r="J189" i="35"/>
  <c r="J190" i="35"/>
  <c r="J191" i="35"/>
  <c r="J192" i="35"/>
  <c r="J193" i="35"/>
  <c r="J194" i="35"/>
  <c r="J195" i="35"/>
  <c r="J196" i="35"/>
  <c r="J197" i="35"/>
  <c r="J198" i="35"/>
  <c r="J199" i="35"/>
  <c r="J200" i="35"/>
  <c r="J201" i="35"/>
  <c r="J202" i="35"/>
  <c r="J203" i="35"/>
  <c r="J204" i="35"/>
  <c r="J205" i="35"/>
  <c r="J206" i="35"/>
  <c r="J207" i="35"/>
  <c r="J208" i="35"/>
  <c r="J209" i="35"/>
  <c r="J210" i="35"/>
  <c r="J211" i="35"/>
  <c r="J212" i="35"/>
  <c r="J213" i="35"/>
  <c r="J214" i="35"/>
  <c r="J215" i="35"/>
  <c r="J216" i="35"/>
  <c r="J217" i="35"/>
  <c r="J218" i="35"/>
  <c r="J219" i="35"/>
  <c r="J220" i="35"/>
  <c r="J221" i="35"/>
  <c r="J222" i="35"/>
  <c r="J223" i="35"/>
  <c r="J224" i="35"/>
  <c r="J225" i="35"/>
  <c r="J226" i="35"/>
  <c r="J227" i="35"/>
  <c r="J228" i="35"/>
  <c r="J229" i="35"/>
  <c r="J230" i="35"/>
  <c r="J231" i="35"/>
  <c r="J232" i="35"/>
  <c r="J233" i="35"/>
  <c r="J234" i="35"/>
  <c r="J235" i="35"/>
  <c r="J236" i="35"/>
  <c r="J237" i="35"/>
  <c r="J238" i="35"/>
  <c r="J239" i="35"/>
  <c r="J240" i="35"/>
  <c r="J241" i="35"/>
  <c r="J242" i="35"/>
  <c r="J243" i="35"/>
  <c r="J244" i="35"/>
  <c r="K275" i="35" s="1"/>
  <c r="J245" i="35"/>
  <c r="J246" i="35"/>
  <c r="J247" i="35"/>
  <c r="J248" i="35"/>
  <c r="J249" i="35"/>
  <c r="J250" i="35"/>
  <c r="J251" i="35"/>
  <c r="J252" i="35"/>
  <c r="J253" i="35"/>
  <c r="J254" i="35"/>
  <c r="J255" i="35"/>
  <c r="J256" i="35"/>
  <c r="J257" i="35"/>
  <c r="J258" i="35"/>
  <c r="J259" i="35"/>
  <c r="J260" i="35"/>
  <c r="J261" i="35"/>
  <c r="J262" i="35"/>
  <c r="J263" i="35"/>
  <c r="J264" i="35"/>
  <c r="J265" i="35"/>
  <c r="J267" i="35"/>
  <c r="J268" i="35"/>
  <c r="J269" i="35"/>
  <c r="J270" i="35"/>
  <c r="J271" i="35"/>
  <c r="J272" i="35"/>
  <c r="J273" i="35"/>
  <c r="J274" i="35"/>
  <c r="J276" i="35"/>
  <c r="J277" i="35"/>
  <c r="J278" i="35"/>
  <c r="J279" i="35"/>
  <c r="J280" i="35"/>
  <c r="J281" i="35"/>
  <c r="J282" i="35"/>
  <c r="J283" i="35"/>
  <c r="J284" i="35"/>
  <c r="J285" i="35"/>
  <c r="J286" i="35"/>
  <c r="J287" i="35"/>
  <c r="J288" i="35"/>
  <c r="J289" i="35"/>
  <c r="J290" i="35"/>
  <c r="J291" i="35"/>
  <c r="J292" i="35"/>
  <c r="J293" i="35"/>
  <c r="J294" i="35"/>
  <c r="J295" i="35"/>
  <c r="J296" i="35"/>
  <c r="J297" i="35"/>
  <c r="J298" i="35"/>
  <c r="J299" i="35"/>
  <c r="J300" i="35"/>
  <c r="J301" i="35"/>
  <c r="J302" i="35"/>
  <c r="J303" i="35"/>
  <c r="J304" i="35"/>
  <c r="J305" i="35"/>
  <c r="J306" i="35"/>
  <c r="J307" i="35"/>
  <c r="J308" i="35"/>
  <c r="J309" i="35"/>
  <c r="J310" i="35"/>
  <c r="J311" i="35"/>
  <c r="J312" i="35"/>
  <c r="J313" i="35"/>
  <c r="J314" i="35"/>
  <c r="J315" i="35"/>
  <c r="J316" i="35"/>
  <c r="J317" i="35"/>
  <c r="J318" i="35"/>
  <c r="J319" i="35"/>
  <c r="J320" i="35"/>
  <c r="J321" i="35"/>
  <c r="J322" i="35"/>
  <c r="J323" i="35"/>
  <c r="J324" i="35"/>
  <c r="J325" i="35"/>
  <c r="J326" i="35"/>
  <c r="J327" i="35"/>
  <c r="J328" i="35"/>
  <c r="J329" i="35"/>
  <c r="J330" i="35"/>
  <c r="J331" i="35"/>
  <c r="J332" i="35"/>
  <c r="J333" i="35"/>
  <c r="J334" i="35"/>
  <c r="J335" i="35"/>
  <c r="J336" i="35"/>
  <c r="J337" i="35"/>
  <c r="J338" i="35"/>
  <c r="J339" i="35"/>
  <c r="J340" i="35"/>
  <c r="J341" i="35"/>
  <c r="J342" i="35"/>
  <c r="J343" i="35"/>
  <c r="J344" i="35"/>
  <c r="J345" i="35"/>
  <c r="J346" i="35"/>
  <c r="J347" i="35"/>
  <c r="J348" i="35"/>
  <c r="J349" i="35"/>
  <c r="J350" i="35"/>
  <c r="J351" i="35"/>
  <c r="J352" i="35"/>
  <c r="J353" i="35"/>
  <c r="J354" i="35"/>
  <c r="J355" i="35"/>
  <c r="J356" i="35"/>
  <c r="J357" i="35"/>
  <c r="J358" i="35"/>
  <c r="J359" i="35"/>
  <c r="J360" i="35"/>
  <c r="J361" i="35"/>
  <c r="J362" i="35"/>
  <c r="J363" i="35"/>
  <c r="J364" i="35"/>
  <c r="J365" i="35"/>
  <c r="J366" i="35"/>
  <c r="J367" i="35"/>
  <c r="J368" i="35"/>
  <c r="J369" i="35"/>
  <c r="J370" i="35"/>
  <c r="J371" i="35"/>
  <c r="J372" i="35"/>
  <c r="J373" i="35"/>
  <c r="J374" i="35"/>
  <c r="J375" i="35"/>
  <c r="J376" i="35"/>
  <c r="J377" i="35"/>
  <c r="J378" i="35"/>
  <c r="J379" i="35"/>
  <c r="J380" i="35"/>
  <c r="J381" i="35"/>
  <c r="J382" i="35"/>
  <c r="J383" i="35"/>
  <c r="J384" i="35"/>
  <c r="J385" i="35"/>
  <c r="J386" i="35"/>
  <c r="J387" i="35"/>
  <c r="J388" i="35"/>
  <c r="J389" i="35"/>
  <c r="J390" i="35"/>
  <c r="J391" i="35"/>
  <c r="J392" i="35"/>
  <c r="J393" i="35"/>
  <c r="J394" i="35"/>
  <c r="J395" i="35"/>
  <c r="J396" i="35"/>
  <c r="J397" i="35"/>
  <c r="J398" i="35"/>
  <c r="J399" i="35"/>
  <c r="J400" i="35"/>
  <c r="J401" i="35"/>
  <c r="J402" i="35"/>
  <c r="J403" i="35"/>
  <c r="J404" i="35"/>
  <c r="J405" i="35"/>
  <c r="J406" i="35"/>
  <c r="J407" i="35"/>
  <c r="J408" i="35"/>
  <c r="J409" i="35"/>
  <c r="J410" i="35"/>
  <c r="J411" i="35"/>
  <c r="J412" i="35"/>
  <c r="J413" i="35"/>
  <c r="J414" i="35"/>
  <c r="J415" i="35"/>
  <c r="J416" i="35"/>
  <c r="J417" i="35"/>
  <c r="J418" i="35"/>
  <c r="J419" i="35"/>
  <c r="J420" i="35"/>
  <c r="J421" i="35"/>
  <c r="J422" i="35"/>
  <c r="J423" i="35"/>
  <c r="J424" i="35"/>
  <c r="J425" i="35"/>
  <c r="J426" i="35"/>
  <c r="J427" i="35"/>
  <c r="J428" i="35"/>
  <c r="J429" i="35"/>
  <c r="J430" i="35"/>
  <c r="J431" i="35"/>
  <c r="J432" i="35"/>
  <c r="J433" i="35"/>
  <c r="J434" i="35"/>
  <c r="J435" i="35"/>
  <c r="J436" i="35"/>
  <c r="J437" i="35"/>
  <c r="J438" i="35"/>
  <c r="J439" i="35"/>
  <c r="J440" i="35"/>
  <c r="J441" i="35"/>
  <c r="J442" i="35"/>
  <c r="J443" i="35"/>
  <c r="J444" i="35"/>
  <c r="J445" i="35"/>
  <c r="J446" i="35"/>
  <c r="J447" i="35"/>
  <c r="J448" i="35"/>
  <c r="J449" i="35"/>
  <c r="J450" i="35"/>
  <c r="J451" i="35"/>
  <c r="J452" i="35"/>
  <c r="J453" i="35"/>
  <c r="J454" i="35"/>
  <c r="J455" i="35"/>
  <c r="J456" i="35"/>
  <c r="J457" i="35"/>
  <c r="J458" i="35"/>
  <c r="J459" i="35"/>
  <c r="J460" i="35"/>
  <c r="J461" i="35"/>
  <c r="J462" i="35"/>
  <c r="J463" i="35"/>
  <c r="J464" i="35"/>
  <c r="J465" i="35"/>
  <c r="J466" i="35"/>
  <c r="J467" i="35"/>
  <c r="J468" i="35"/>
  <c r="J469" i="35"/>
  <c r="J470" i="35"/>
  <c r="J471" i="35"/>
  <c r="J472" i="35"/>
  <c r="J473" i="35"/>
  <c r="J474" i="35"/>
  <c r="J475" i="35"/>
  <c r="J476" i="35"/>
  <c r="J477" i="35"/>
  <c r="J478" i="35"/>
  <c r="J479" i="35"/>
  <c r="J480" i="35"/>
  <c r="J481" i="35"/>
  <c r="J482" i="35"/>
  <c r="J483" i="35"/>
  <c r="J485" i="35"/>
  <c r="J486" i="35"/>
  <c r="J487" i="35"/>
  <c r="J488" i="35"/>
  <c r="J489" i="35"/>
  <c r="J490" i="35"/>
  <c r="J491" i="35"/>
  <c r="J492" i="35"/>
  <c r="J493" i="35"/>
  <c r="J494" i="35"/>
  <c r="J495" i="35"/>
  <c r="J496" i="35"/>
  <c r="J497" i="35"/>
  <c r="J498" i="35"/>
  <c r="J499" i="35"/>
  <c r="J500" i="35"/>
  <c r="J501" i="35"/>
  <c r="J502" i="35"/>
  <c r="J503" i="35"/>
  <c r="J504" i="35"/>
  <c r="J505" i="35"/>
  <c r="J506" i="35"/>
  <c r="J507" i="35"/>
  <c r="J125" i="35"/>
  <c r="J126" i="35"/>
  <c r="J127" i="35"/>
  <c r="J128" i="35"/>
  <c r="J129" i="35"/>
  <c r="J130" i="35"/>
  <c r="J131" i="35"/>
  <c r="J132" i="35"/>
  <c r="J133" i="35"/>
  <c r="J134" i="35"/>
  <c r="J135" i="35"/>
  <c r="J136" i="35"/>
  <c r="J137" i="35"/>
  <c r="J138" i="35"/>
  <c r="J139" i="35"/>
  <c r="J140" i="35"/>
  <c r="J141" i="35"/>
  <c r="J142" i="35"/>
  <c r="J143" i="35"/>
  <c r="J144" i="35"/>
  <c r="J145" i="35"/>
  <c r="J146" i="35"/>
  <c r="J147" i="35"/>
  <c r="J148" i="35"/>
  <c r="J124" i="35"/>
  <c r="K124" i="35" s="1"/>
  <c r="B603" i="35"/>
  <c r="B602" i="35"/>
  <c r="B601" i="35"/>
  <c r="B600" i="35"/>
  <c r="B599" i="35"/>
  <c r="B598" i="35"/>
  <c r="B597" i="35"/>
  <c r="B596" i="35"/>
  <c r="B595" i="35"/>
  <c r="B594" i="35"/>
  <c r="B593" i="35"/>
  <c r="B592" i="35"/>
  <c r="B591" i="35"/>
  <c r="B590" i="35"/>
  <c r="B589" i="35"/>
  <c r="B588" i="35"/>
  <c r="B587" i="35"/>
  <c r="B586" i="35"/>
  <c r="B585" i="35"/>
  <c r="B584" i="35"/>
  <c r="B583" i="35"/>
  <c r="B582" i="35"/>
  <c r="B581" i="35"/>
  <c r="B580" i="35"/>
  <c r="B579" i="35"/>
  <c r="B578" i="35"/>
  <c r="B577" i="35"/>
  <c r="B576" i="35"/>
  <c r="B575" i="35"/>
  <c r="B574" i="35"/>
  <c r="B573" i="35"/>
  <c r="B572" i="35"/>
  <c r="B571" i="35"/>
  <c r="B570" i="35"/>
  <c r="B569" i="35"/>
  <c r="B568" i="35"/>
  <c r="B567" i="35"/>
  <c r="B566" i="35"/>
  <c r="B565" i="35"/>
  <c r="B564" i="35"/>
  <c r="B563" i="35"/>
  <c r="B562" i="35"/>
  <c r="B561" i="35"/>
  <c r="B560" i="35"/>
  <c r="B559" i="35"/>
  <c r="B558" i="35"/>
  <c r="B557" i="35"/>
  <c r="B556" i="35"/>
  <c r="B555" i="35"/>
  <c r="B554" i="35"/>
  <c r="B553" i="35"/>
  <c r="B552" i="35"/>
  <c r="B551" i="35"/>
  <c r="B550" i="35"/>
  <c r="B549" i="35"/>
  <c r="B548" i="35"/>
  <c r="B547" i="35"/>
  <c r="B546" i="35"/>
  <c r="B545" i="35"/>
  <c r="B544" i="35"/>
  <c r="B543" i="35"/>
  <c r="B542" i="35"/>
  <c r="B541" i="35"/>
  <c r="B540" i="35"/>
  <c r="B539" i="35"/>
  <c r="B538" i="35"/>
  <c r="B537" i="35"/>
  <c r="B536" i="35"/>
  <c r="B535" i="35"/>
  <c r="B534" i="35"/>
  <c r="B533" i="35"/>
  <c r="B532" i="35"/>
  <c r="B531" i="35"/>
  <c r="B530" i="35"/>
  <c r="B529" i="35"/>
  <c r="B528" i="35"/>
  <c r="B527" i="35"/>
  <c r="B526" i="35"/>
  <c r="B525" i="35"/>
  <c r="B524" i="35"/>
  <c r="B523" i="35"/>
  <c r="B522" i="35"/>
  <c r="B521" i="35"/>
  <c r="B520" i="35"/>
  <c r="B519" i="35"/>
  <c r="B518" i="35"/>
  <c r="B517" i="35"/>
  <c r="B516" i="35"/>
  <c r="B515" i="35"/>
  <c r="B514" i="35"/>
  <c r="B513" i="35"/>
  <c r="B512" i="35"/>
  <c r="B511" i="35"/>
  <c r="B510" i="35"/>
  <c r="B509" i="35"/>
  <c r="B508" i="35"/>
  <c r="B507" i="35"/>
  <c r="B506" i="35"/>
  <c r="B505" i="35"/>
  <c r="B504" i="35"/>
  <c r="B503" i="35"/>
  <c r="B502" i="35"/>
  <c r="B501" i="35"/>
  <c r="B500" i="35"/>
  <c r="B499" i="35"/>
  <c r="B498" i="35"/>
  <c r="B497" i="35"/>
  <c r="B496" i="35"/>
  <c r="B495" i="35"/>
  <c r="B494" i="35"/>
  <c r="B493" i="35"/>
  <c r="B492" i="35"/>
  <c r="B491" i="35"/>
  <c r="B490" i="35"/>
  <c r="B489" i="35"/>
  <c r="B488" i="35"/>
  <c r="B487" i="35"/>
  <c r="B486" i="35"/>
  <c r="B485" i="35"/>
  <c r="B484" i="35"/>
  <c r="B243" i="35"/>
  <c r="B242" i="35"/>
  <c r="B241" i="35"/>
  <c r="B240" i="35"/>
  <c r="B239" i="35"/>
  <c r="B238" i="35"/>
  <c r="B237" i="35"/>
  <c r="B236" i="35"/>
  <c r="B235" i="35"/>
  <c r="B234" i="35"/>
  <c r="B233" i="35"/>
  <c r="B232" i="35"/>
  <c r="B231" i="35"/>
  <c r="B230" i="35"/>
  <c r="B229" i="35"/>
  <c r="B228" i="35"/>
  <c r="B227" i="35"/>
  <c r="B226" i="35"/>
  <c r="B225" i="35"/>
  <c r="B224" i="35"/>
  <c r="B223" i="35"/>
  <c r="B222" i="35"/>
  <c r="B221" i="35"/>
  <c r="B220" i="35"/>
  <c r="B219" i="35"/>
  <c r="B218" i="35"/>
  <c r="B217" i="35"/>
  <c r="B216" i="35"/>
  <c r="B215" i="35"/>
  <c r="B214" i="35"/>
  <c r="B213" i="35"/>
  <c r="B212" i="35"/>
  <c r="B211" i="35"/>
  <c r="B210" i="35"/>
  <c r="B209" i="35"/>
  <c r="B208" i="35"/>
  <c r="B207" i="35"/>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6" i="35"/>
  <c r="B165" i="35"/>
  <c r="B164" i="35"/>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l="1"/>
  <c r="N52" i="5" l="1"/>
  <c r="N53" i="5"/>
  <c r="V53" i="5" s="1"/>
  <c r="N54" i="5"/>
  <c r="N55" i="5"/>
  <c r="V55" i="5" s="1"/>
  <c r="N56" i="5"/>
  <c r="N57" i="5"/>
  <c r="N58" i="5"/>
  <c r="V58" i="5" s="1"/>
  <c r="N59" i="5"/>
  <c r="V59" i="5" s="1"/>
  <c r="N60" i="5"/>
  <c r="V60" i="5" s="1"/>
  <c r="N61" i="5"/>
  <c r="N62" i="5"/>
  <c r="N63" i="5"/>
  <c r="V63" i="5" s="1"/>
  <c r="N64" i="5"/>
  <c r="N65" i="5"/>
  <c r="N66" i="5"/>
  <c r="N67" i="5"/>
  <c r="N68" i="5"/>
  <c r="V68" i="5" s="1"/>
  <c r="N69" i="5"/>
  <c r="V69" i="5" s="1"/>
  <c r="N70" i="5"/>
  <c r="V70" i="5" s="1"/>
  <c r="N71" i="5"/>
  <c r="V71" i="5" s="1"/>
  <c r="N72" i="5"/>
  <c r="N73" i="5"/>
  <c r="V73" i="5" s="1"/>
  <c r="N74" i="5"/>
  <c r="N75" i="5"/>
  <c r="N76" i="5"/>
  <c r="V76" i="5" s="1"/>
  <c r="N77" i="5"/>
  <c r="V77" i="5" s="1"/>
  <c r="N78" i="5"/>
  <c r="V78" i="5" s="1"/>
  <c r="N79" i="5"/>
  <c r="V79" i="5" s="1"/>
  <c r="N80" i="5"/>
  <c r="N81" i="5"/>
  <c r="N82" i="5"/>
  <c r="V82" i="5" s="1"/>
  <c r="N83" i="5"/>
  <c r="N84" i="5"/>
  <c r="V84" i="5" s="1"/>
  <c r="N85" i="5"/>
  <c r="N86" i="5"/>
  <c r="V86" i="5" s="1"/>
  <c r="N87" i="5"/>
  <c r="V87" i="5" s="1"/>
  <c r="N88" i="5"/>
  <c r="N89" i="5"/>
  <c r="N90" i="5"/>
  <c r="V90" i="5" s="1"/>
  <c r="N91" i="5"/>
  <c r="V91" i="5" s="1"/>
  <c r="N92" i="5"/>
  <c r="V92" i="5" s="1"/>
  <c r="N93" i="5"/>
  <c r="N94" i="5"/>
  <c r="N95" i="5"/>
  <c r="V95" i="5" s="1"/>
  <c r="N96" i="5"/>
  <c r="N97" i="5"/>
  <c r="N98" i="5"/>
  <c r="N99" i="5"/>
  <c r="N100" i="5"/>
  <c r="V100" i="5" s="1"/>
  <c r="N101" i="5"/>
  <c r="V101" i="5" s="1"/>
  <c r="N102" i="5"/>
  <c r="V102" i="5" s="1"/>
  <c r="N103" i="5"/>
  <c r="V103" i="5" s="1"/>
  <c r="N104" i="5"/>
  <c r="N105" i="5"/>
  <c r="N106" i="5"/>
  <c r="V106" i="5" s="1"/>
  <c r="N107" i="5"/>
  <c r="V107" i="5" s="1"/>
  <c r="N108" i="5"/>
  <c r="V108" i="5" s="1"/>
  <c r="N109" i="5"/>
  <c r="V109" i="5" s="1"/>
  <c r="N110" i="5"/>
  <c r="N111" i="5"/>
  <c r="N112" i="5"/>
  <c r="N113" i="5"/>
  <c r="V113" i="5" s="1"/>
  <c r="N114" i="5"/>
  <c r="N115" i="5"/>
  <c r="N116" i="5"/>
  <c r="V116" i="5" s="1"/>
  <c r="N117" i="5"/>
  <c r="N118" i="5"/>
  <c r="V118" i="5" s="1"/>
  <c r="N119" i="5"/>
  <c r="V119" i="5" s="1"/>
  <c r="N120" i="5"/>
  <c r="N121" i="5"/>
  <c r="N122" i="5"/>
  <c r="N123" i="5"/>
  <c r="V123" i="5" s="1"/>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4" i="5"/>
  <c r="F8" i="2"/>
  <c r="F6" i="2"/>
  <c r="J67" i="35"/>
  <c r="S67" i="35" s="1"/>
  <c r="J68" i="35"/>
  <c r="S68" i="35" s="1"/>
  <c r="K127" i="35"/>
  <c r="K135" i="35"/>
  <c r="K143" i="35"/>
  <c r="K151" i="35"/>
  <c r="K159" i="35"/>
  <c r="K167" i="35"/>
  <c r="K175" i="35"/>
  <c r="K183" i="35"/>
  <c r="K191" i="35"/>
  <c r="K199" i="35"/>
  <c r="K207" i="35"/>
  <c r="K215" i="35"/>
  <c r="K223" i="35"/>
  <c r="K231" i="35"/>
  <c r="K239" i="35"/>
  <c r="K244" i="35"/>
  <c r="K245" i="35"/>
  <c r="K246" i="35"/>
  <c r="K247" i="35"/>
  <c r="K248" i="35"/>
  <c r="K249" i="35"/>
  <c r="K250" i="35"/>
  <c r="L250" i="35" s="1"/>
  <c r="M250" i="35" s="1"/>
  <c r="K251" i="35"/>
  <c r="K252" i="35"/>
  <c r="K253" i="35"/>
  <c r="K254" i="35"/>
  <c r="K255" i="35"/>
  <c r="K256" i="35"/>
  <c r="K257" i="35"/>
  <c r="K258" i="35"/>
  <c r="K259" i="35"/>
  <c r="K260" i="35"/>
  <c r="K261" i="35"/>
  <c r="K262" i="35"/>
  <c r="K263" i="35"/>
  <c r="K264" i="35"/>
  <c r="K265" i="35"/>
  <c r="K266" i="35"/>
  <c r="L266" i="35" s="1"/>
  <c r="M266" i="35" s="1"/>
  <c r="K267" i="35"/>
  <c r="K268" i="35"/>
  <c r="K269" i="35"/>
  <c r="K270" i="35"/>
  <c r="K271" i="35"/>
  <c r="K272" i="35"/>
  <c r="K273" i="35"/>
  <c r="K274" i="35"/>
  <c r="L274" i="35" s="1"/>
  <c r="M274" i="35" s="1"/>
  <c r="K276" i="35"/>
  <c r="K277" i="35"/>
  <c r="K278" i="35"/>
  <c r="K279" i="35"/>
  <c r="K280" i="35"/>
  <c r="K281" i="35"/>
  <c r="K282" i="35"/>
  <c r="L282" i="35" s="1"/>
  <c r="M282" i="35" s="1"/>
  <c r="K283" i="35"/>
  <c r="K284" i="35"/>
  <c r="K285" i="35"/>
  <c r="K286" i="35"/>
  <c r="K287" i="35"/>
  <c r="K288" i="35"/>
  <c r="K289" i="35"/>
  <c r="K290" i="35"/>
  <c r="L290" i="35" s="1"/>
  <c r="M290" i="35" s="1"/>
  <c r="K291" i="35"/>
  <c r="K292" i="35"/>
  <c r="K293" i="35"/>
  <c r="K294" i="35"/>
  <c r="K295" i="35"/>
  <c r="K296" i="35"/>
  <c r="K297" i="35"/>
  <c r="K298" i="35"/>
  <c r="L298" i="35" s="1"/>
  <c r="M298" i="35" s="1"/>
  <c r="K299" i="35"/>
  <c r="K300" i="35"/>
  <c r="K301" i="35"/>
  <c r="K302" i="35"/>
  <c r="K303" i="35"/>
  <c r="K304" i="35"/>
  <c r="K305" i="35"/>
  <c r="K306" i="35"/>
  <c r="L306" i="35" s="1"/>
  <c r="M306" i="35" s="1"/>
  <c r="K307" i="35"/>
  <c r="K308" i="35"/>
  <c r="K309" i="35"/>
  <c r="K310" i="35"/>
  <c r="K311" i="35"/>
  <c r="K312" i="35"/>
  <c r="K313" i="35"/>
  <c r="K314" i="35"/>
  <c r="L314" i="35" s="1"/>
  <c r="M314" i="35" s="1"/>
  <c r="K315" i="35"/>
  <c r="K316" i="35"/>
  <c r="K317" i="35"/>
  <c r="K318" i="35"/>
  <c r="K319" i="35"/>
  <c r="K320" i="35"/>
  <c r="K321" i="35"/>
  <c r="K322" i="35"/>
  <c r="L322" i="35" s="1"/>
  <c r="M322" i="35" s="1"/>
  <c r="K323" i="35"/>
  <c r="K324" i="35"/>
  <c r="K325" i="35"/>
  <c r="K326" i="35"/>
  <c r="K327" i="35"/>
  <c r="K328" i="35"/>
  <c r="K329" i="35"/>
  <c r="K330" i="35"/>
  <c r="L330" i="35" s="1"/>
  <c r="M330" i="35" s="1"/>
  <c r="K331" i="35"/>
  <c r="K332" i="35"/>
  <c r="K333" i="35"/>
  <c r="K334" i="35"/>
  <c r="K335" i="35"/>
  <c r="K336" i="35"/>
  <c r="K337" i="35"/>
  <c r="K338" i="35"/>
  <c r="L338" i="35" s="1"/>
  <c r="M338" i="35" s="1"/>
  <c r="K339" i="35"/>
  <c r="K340" i="35"/>
  <c r="K341" i="35"/>
  <c r="K342" i="35"/>
  <c r="K343" i="35"/>
  <c r="K344" i="35"/>
  <c r="K345" i="35"/>
  <c r="K346" i="35"/>
  <c r="L346" i="35" s="1"/>
  <c r="M346" i="35" s="1"/>
  <c r="K347" i="35"/>
  <c r="K348" i="35"/>
  <c r="K349" i="35"/>
  <c r="K350" i="35"/>
  <c r="K351" i="35"/>
  <c r="K352" i="35"/>
  <c r="K353" i="35"/>
  <c r="K354" i="35"/>
  <c r="L354" i="35" s="1"/>
  <c r="M354" i="35" s="1"/>
  <c r="K355" i="35"/>
  <c r="K356" i="35"/>
  <c r="K357" i="35"/>
  <c r="K358" i="35"/>
  <c r="K359" i="35"/>
  <c r="K360" i="35"/>
  <c r="K361" i="35"/>
  <c r="K362" i="35"/>
  <c r="L362" i="35" s="1"/>
  <c r="M362" i="35" s="1"/>
  <c r="K363" i="35"/>
  <c r="K364" i="35"/>
  <c r="K365" i="35"/>
  <c r="K366" i="35"/>
  <c r="K367" i="35"/>
  <c r="K368" i="35"/>
  <c r="K369" i="35"/>
  <c r="K370" i="35"/>
  <c r="L370" i="35" s="1"/>
  <c r="M370" i="35" s="1"/>
  <c r="K371" i="35"/>
  <c r="K372" i="35"/>
  <c r="K373" i="35"/>
  <c r="K374" i="35"/>
  <c r="K375" i="35"/>
  <c r="K376" i="35"/>
  <c r="K377" i="35"/>
  <c r="K378" i="35"/>
  <c r="L378" i="35" s="1"/>
  <c r="M378" i="35" s="1"/>
  <c r="K379" i="35"/>
  <c r="K380" i="35"/>
  <c r="K381" i="35"/>
  <c r="K382" i="35"/>
  <c r="K383" i="35"/>
  <c r="K384" i="35"/>
  <c r="K385" i="35"/>
  <c r="K386" i="35"/>
  <c r="L386" i="35" s="1"/>
  <c r="M386" i="35" s="1"/>
  <c r="K387" i="35"/>
  <c r="K388" i="35"/>
  <c r="K389" i="35"/>
  <c r="K390" i="35"/>
  <c r="K391" i="35"/>
  <c r="K392" i="35"/>
  <c r="K393" i="35"/>
  <c r="K394" i="35"/>
  <c r="L394" i="35" s="1"/>
  <c r="M394" i="35" s="1"/>
  <c r="K395" i="35"/>
  <c r="K396" i="35"/>
  <c r="K397" i="35"/>
  <c r="K398" i="35"/>
  <c r="K399" i="35"/>
  <c r="K400" i="35"/>
  <c r="K401" i="35"/>
  <c r="K402" i="35"/>
  <c r="L402" i="35" s="1"/>
  <c r="M402" i="35" s="1"/>
  <c r="K403" i="35"/>
  <c r="K404" i="35"/>
  <c r="K405" i="35"/>
  <c r="K406" i="35"/>
  <c r="K407" i="35"/>
  <c r="K408" i="35"/>
  <c r="K409" i="35"/>
  <c r="K410" i="35"/>
  <c r="L410" i="35" s="1"/>
  <c r="M410" i="35" s="1"/>
  <c r="K411" i="35"/>
  <c r="K412" i="35"/>
  <c r="K413" i="35"/>
  <c r="K414" i="35"/>
  <c r="K415" i="35"/>
  <c r="K416" i="35"/>
  <c r="K417" i="35"/>
  <c r="K418" i="35"/>
  <c r="L418" i="35" s="1"/>
  <c r="M418" i="35" s="1"/>
  <c r="K419" i="35"/>
  <c r="K420" i="35"/>
  <c r="K421" i="35"/>
  <c r="K422" i="35"/>
  <c r="K423" i="35"/>
  <c r="K424" i="35"/>
  <c r="K425" i="35"/>
  <c r="K426" i="35"/>
  <c r="L426" i="35" s="1"/>
  <c r="M426" i="35" s="1"/>
  <c r="K427" i="35"/>
  <c r="K428" i="35"/>
  <c r="K429" i="35"/>
  <c r="K430" i="35"/>
  <c r="K431" i="35"/>
  <c r="K432" i="35"/>
  <c r="K433" i="35"/>
  <c r="K434" i="35"/>
  <c r="L434" i="35" s="1"/>
  <c r="M434" i="35" s="1"/>
  <c r="K435" i="35"/>
  <c r="K436" i="35"/>
  <c r="K437" i="35"/>
  <c r="K438" i="35"/>
  <c r="K439" i="35"/>
  <c r="K440" i="35"/>
  <c r="K441" i="35"/>
  <c r="K442" i="35"/>
  <c r="L442" i="35" s="1"/>
  <c r="M442" i="35" s="1"/>
  <c r="K443" i="35"/>
  <c r="K444" i="35"/>
  <c r="K445" i="35"/>
  <c r="K446" i="35"/>
  <c r="K447" i="35"/>
  <c r="K448" i="35"/>
  <c r="K449" i="35"/>
  <c r="K450" i="35"/>
  <c r="L450" i="35" s="1"/>
  <c r="M450" i="35" s="1"/>
  <c r="K451" i="35"/>
  <c r="K452" i="35"/>
  <c r="K453" i="35"/>
  <c r="K454" i="35"/>
  <c r="K455" i="35"/>
  <c r="K456" i="35"/>
  <c r="K457" i="35"/>
  <c r="K458" i="35"/>
  <c r="L458" i="35" s="1"/>
  <c r="M458" i="35" s="1"/>
  <c r="K459" i="35"/>
  <c r="K460" i="35"/>
  <c r="K461" i="35"/>
  <c r="K462" i="35"/>
  <c r="K463" i="35"/>
  <c r="K464" i="35"/>
  <c r="K465" i="35"/>
  <c r="K466" i="35"/>
  <c r="L466" i="35" s="1"/>
  <c r="M466" i="35" s="1"/>
  <c r="K467" i="35"/>
  <c r="K468" i="35"/>
  <c r="K469" i="35"/>
  <c r="K470" i="35"/>
  <c r="L470" i="35" s="1"/>
  <c r="M470" i="35" s="1"/>
  <c r="K471" i="35"/>
  <c r="K472" i="35"/>
  <c r="K473" i="35"/>
  <c r="K474" i="35"/>
  <c r="L474" i="35" s="1"/>
  <c r="M474" i="35" s="1"/>
  <c r="K475" i="35"/>
  <c r="K476" i="35"/>
  <c r="K477" i="35"/>
  <c r="K478" i="35"/>
  <c r="L478" i="35" s="1"/>
  <c r="M478" i="35" s="1"/>
  <c r="K479" i="35"/>
  <c r="K480" i="35"/>
  <c r="K481" i="35"/>
  <c r="K482" i="35"/>
  <c r="L482" i="35" s="1"/>
  <c r="M482" i="35" s="1"/>
  <c r="K483" i="35"/>
  <c r="J5" i="35"/>
  <c r="S5" i="35" s="1"/>
  <c r="J6" i="35"/>
  <c r="S6" i="35" s="1"/>
  <c r="J7" i="35"/>
  <c r="S7" i="35" s="1"/>
  <c r="J8" i="35"/>
  <c r="S8" i="35" s="1"/>
  <c r="J9" i="35"/>
  <c r="S9" i="35" s="1"/>
  <c r="J10" i="35"/>
  <c r="S10" i="35" s="1"/>
  <c r="J11" i="35"/>
  <c r="S11" i="35" s="1"/>
  <c r="J12" i="35"/>
  <c r="S12" i="35" s="1"/>
  <c r="J13" i="35"/>
  <c r="S13" i="35" s="1"/>
  <c r="J14" i="35"/>
  <c r="S14" i="35" s="1"/>
  <c r="J15" i="35"/>
  <c r="S15" i="35" s="1"/>
  <c r="J16" i="35"/>
  <c r="S16" i="35" s="1"/>
  <c r="J17" i="35"/>
  <c r="S17" i="35" s="1"/>
  <c r="J18" i="35"/>
  <c r="S18" i="35" s="1"/>
  <c r="J19" i="35"/>
  <c r="S19" i="35" s="1"/>
  <c r="J20" i="35"/>
  <c r="S20" i="35" s="1"/>
  <c r="J21" i="35"/>
  <c r="S21" i="35" s="1"/>
  <c r="J22" i="35"/>
  <c r="S22" i="35" s="1"/>
  <c r="J23" i="35"/>
  <c r="S23" i="35" s="1"/>
  <c r="J24" i="35"/>
  <c r="S24" i="35" s="1"/>
  <c r="J25" i="35"/>
  <c r="S25" i="35" s="1"/>
  <c r="J26" i="35"/>
  <c r="S26" i="35" s="1"/>
  <c r="J27" i="35"/>
  <c r="S27" i="35" s="1"/>
  <c r="J28" i="35"/>
  <c r="S28" i="35" s="1"/>
  <c r="J29" i="35"/>
  <c r="S29" i="35" s="1"/>
  <c r="J30" i="35"/>
  <c r="S30" i="35" s="1"/>
  <c r="J31" i="35"/>
  <c r="S31" i="35" s="1"/>
  <c r="J32" i="35"/>
  <c r="S32" i="35" s="1"/>
  <c r="J33" i="35"/>
  <c r="S33" i="35" s="1"/>
  <c r="J34" i="35"/>
  <c r="S34" i="35" s="1"/>
  <c r="J35" i="35"/>
  <c r="S35" i="35" s="1"/>
  <c r="J36" i="35"/>
  <c r="S36" i="35" s="1"/>
  <c r="J37" i="35"/>
  <c r="S37" i="35" s="1"/>
  <c r="J38" i="35"/>
  <c r="S38" i="35" s="1"/>
  <c r="J39" i="35"/>
  <c r="S39" i="35" s="1"/>
  <c r="J40" i="35"/>
  <c r="S40" i="35" s="1"/>
  <c r="J41" i="35"/>
  <c r="S41" i="35" s="1"/>
  <c r="J42" i="35"/>
  <c r="S42" i="35" s="1"/>
  <c r="J43" i="35"/>
  <c r="S43" i="35" s="1"/>
  <c r="J44" i="35"/>
  <c r="S44" i="35" s="1"/>
  <c r="J45" i="35"/>
  <c r="S45" i="35" s="1"/>
  <c r="J46" i="35"/>
  <c r="S46" i="35" s="1"/>
  <c r="J47" i="35"/>
  <c r="S47" i="35" s="1"/>
  <c r="J48" i="35"/>
  <c r="S48" i="35" s="1"/>
  <c r="J49" i="35"/>
  <c r="S49" i="35" s="1"/>
  <c r="J50" i="35"/>
  <c r="S50" i="35" s="1"/>
  <c r="J51" i="35"/>
  <c r="S51" i="35" s="1"/>
  <c r="J52" i="35"/>
  <c r="S52" i="35" s="1"/>
  <c r="J53" i="35"/>
  <c r="S53" i="35" s="1"/>
  <c r="J54" i="35"/>
  <c r="S54" i="35" s="1"/>
  <c r="J55" i="35"/>
  <c r="S55" i="35" s="1"/>
  <c r="J56" i="35"/>
  <c r="S56" i="35" s="1"/>
  <c r="J57" i="35"/>
  <c r="S57" i="35" s="1"/>
  <c r="J58" i="35"/>
  <c r="S58" i="35" s="1"/>
  <c r="J59" i="35"/>
  <c r="S59" i="35" s="1"/>
  <c r="J60" i="35"/>
  <c r="S60" i="35" s="1"/>
  <c r="J61" i="35"/>
  <c r="S61" i="35" s="1"/>
  <c r="J62" i="35"/>
  <c r="S62" i="35" s="1"/>
  <c r="J63" i="35"/>
  <c r="S63" i="35" s="1"/>
  <c r="J64" i="35"/>
  <c r="S64" i="35" s="1"/>
  <c r="J65" i="35"/>
  <c r="S65" i="35" s="1"/>
  <c r="J66" i="35"/>
  <c r="S66" i="35" s="1"/>
  <c r="J69" i="35"/>
  <c r="S69" i="35" s="1"/>
  <c r="J70" i="35"/>
  <c r="S70" i="35" s="1"/>
  <c r="J71" i="35"/>
  <c r="S71" i="35" s="1"/>
  <c r="J72" i="35"/>
  <c r="S72" i="35" s="1"/>
  <c r="J73" i="35"/>
  <c r="S73" i="35" s="1"/>
  <c r="J74" i="35"/>
  <c r="S74" i="35" s="1"/>
  <c r="J75" i="35"/>
  <c r="S75" i="35" s="1"/>
  <c r="J76" i="35"/>
  <c r="S76" i="35" s="1"/>
  <c r="J77" i="35"/>
  <c r="S77" i="35" s="1"/>
  <c r="J78" i="35"/>
  <c r="S78" i="35" s="1"/>
  <c r="J79" i="35"/>
  <c r="S79" i="35" s="1"/>
  <c r="J80" i="35"/>
  <c r="S80" i="35" s="1"/>
  <c r="J81" i="35"/>
  <c r="S81" i="35" s="1"/>
  <c r="J82" i="35"/>
  <c r="S82" i="35" s="1"/>
  <c r="J83" i="35"/>
  <c r="S83" i="35" s="1"/>
  <c r="J84" i="35"/>
  <c r="S84" i="35" s="1"/>
  <c r="J85" i="35"/>
  <c r="S85" i="35" s="1"/>
  <c r="J86" i="35"/>
  <c r="S86" i="35" s="1"/>
  <c r="J87" i="35"/>
  <c r="S87" i="35" s="1"/>
  <c r="J88" i="35"/>
  <c r="S88" i="35" s="1"/>
  <c r="J89" i="35"/>
  <c r="S89" i="35" s="1"/>
  <c r="J90" i="35"/>
  <c r="S90" i="35" s="1"/>
  <c r="J91" i="35"/>
  <c r="S91" i="35" s="1"/>
  <c r="J92" i="35"/>
  <c r="S92" i="35" s="1"/>
  <c r="J93" i="35"/>
  <c r="S93" i="35" s="1"/>
  <c r="J94" i="35"/>
  <c r="S94" i="35" s="1"/>
  <c r="J95" i="35"/>
  <c r="S95" i="35" s="1"/>
  <c r="J96" i="35"/>
  <c r="S96" i="35" s="1"/>
  <c r="J97" i="35"/>
  <c r="S97" i="35" s="1"/>
  <c r="J98" i="35"/>
  <c r="S98" i="35" s="1"/>
  <c r="J99" i="35"/>
  <c r="S99" i="35" s="1"/>
  <c r="J100" i="35"/>
  <c r="S100" i="35" s="1"/>
  <c r="J101" i="35"/>
  <c r="S101" i="35" s="1"/>
  <c r="J102" i="35"/>
  <c r="S102" i="35" s="1"/>
  <c r="J103" i="35"/>
  <c r="S103" i="35" s="1"/>
  <c r="J104" i="35"/>
  <c r="S104" i="35" s="1"/>
  <c r="J105" i="35"/>
  <c r="S105" i="35" s="1"/>
  <c r="J106" i="35"/>
  <c r="S106" i="35" s="1"/>
  <c r="J107" i="35"/>
  <c r="S107" i="35" s="1"/>
  <c r="J108" i="35"/>
  <c r="S108" i="35" s="1"/>
  <c r="J109" i="35"/>
  <c r="S109" i="35" s="1"/>
  <c r="J110" i="35"/>
  <c r="S110" i="35" s="1"/>
  <c r="J111" i="35"/>
  <c r="S111" i="35" s="1"/>
  <c r="J112" i="35"/>
  <c r="S112" i="35" s="1"/>
  <c r="J113" i="35"/>
  <c r="S113" i="35" s="1"/>
  <c r="J114" i="35"/>
  <c r="S114" i="35" s="1"/>
  <c r="J115" i="35"/>
  <c r="S115" i="35" s="1"/>
  <c r="J116" i="35"/>
  <c r="S116" i="35" s="1"/>
  <c r="J117" i="35"/>
  <c r="S117" i="35" s="1"/>
  <c r="J118" i="35"/>
  <c r="S118" i="35" s="1"/>
  <c r="J119" i="35"/>
  <c r="S119" i="35" s="1"/>
  <c r="J120" i="35"/>
  <c r="S120" i="35" s="1"/>
  <c r="J121" i="35"/>
  <c r="S121" i="35" s="1"/>
  <c r="J122" i="35"/>
  <c r="S122" i="35" s="1"/>
  <c r="J123" i="35"/>
  <c r="S123" i="35" s="1"/>
  <c r="K129" i="35"/>
  <c r="J4" i="35"/>
  <c r="K123" i="35" s="1"/>
  <c r="T123" i="35" s="1"/>
  <c r="AB123" i="35" s="1"/>
  <c r="AC123" i="35" s="1"/>
  <c r="AD123" i="35" s="1"/>
  <c r="B3" i="2"/>
  <c r="B149" i="2" s="1"/>
  <c r="B4" i="35"/>
  <c r="B5" i="3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3" i="35"/>
  <c r="C29" i="2" l="1"/>
  <c r="M6" i="5" s="1"/>
  <c r="P5" i="5"/>
  <c r="Y5" i="5" s="1"/>
  <c r="P77" i="5"/>
  <c r="Y77" i="5" s="1"/>
  <c r="S15" i="5"/>
  <c r="F24" i="2"/>
  <c r="J23" i="2"/>
  <c r="P61" i="5"/>
  <c r="Y61" i="5" s="1"/>
  <c r="C94" i="2"/>
  <c r="M71" i="5" s="1"/>
  <c r="U71" i="5" s="1"/>
  <c r="K5" i="35"/>
  <c r="T5" i="35" s="1"/>
  <c r="AB5" i="35" s="1"/>
  <c r="AC5" i="35" s="1"/>
  <c r="AD5" i="35" s="1"/>
  <c r="C136" i="2"/>
  <c r="M113" i="5" s="1"/>
  <c r="U113" i="5" s="1"/>
  <c r="P39" i="5"/>
  <c r="P15" i="5"/>
  <c r="K4" i="35"/>
  <c r="T4" i="35" s="1"/>
  <c r="AB4" i="35" s="1"/>
  <c r="AC4" i="35" s="1"/>
  <c r="AD4" i="35" s="1"/>
  <c r="S46" i="5"/>
  <c r="S38" i="5"/>
  <c r="S30" i="5"/>
  <c r="S22" i="5"/>
  <c r="S14" i="5"/>
  <c r="S6" i="5"/>
  <c r="S117" i="5"/>
  <c r="X117" i="5" s="1"/>
  <c r="O93" i="5"/>
  <c r="W93" i="5" s="1"/>
  <c r="O85" i="5"/>
  <c r="W85" i="5" s="1"/>
  <c r="O61" i="5"/>
  <c r="W61" i="5" s="1"/>
  <c r="K13" i="35"/>
  <c r="T13" i="35" s="1"/>
  <c r="AB13" i="35" s="1"/>
  <c r="AC13" i="35" s="1"/>
  <c r="AD13" i="35" s="1"/>
  <c r="S45" i="5"/>
  <c r="S37" i="5"/>
  <c r="S29" i="5"/>
  <c r="P21" i="5"/>
  <c r="S13" i="5"/>
  <c r="O5" i="5"/>
  <c r="P52" i="5"/>
  <c r="Y52" i="5" s="1"/>
  <c r="K9" i="35"/>
  <c r="T9" i="35" s="1"/>
  <c r="AB9" i="35" s="1"/>
  <c r="AC9" i="35" s="1"/>
  <c r="AD9" i="35" s="1"/>
  <c r="S4" i="5"/>
  <c r="P44" i="5"/>
  <c r="S36" i="5"/>
  <c r="S28" i="5"/>
  <c r="S20" i="5"/>
  <c r="P12" i="5"/>
  <c r="S115" i="5"/>
  <c r="X115" i="5" s="1"/>
  <c r="S99" i="5"/>
  <c r="X99" i="5" s="1"/>
  <c r="S83" i="5"/>
  <c r="X83" i="5" s="1"/>
  <c r="S75" i="5"/>
  <c r="X75" i="5" s="1"/>
  <c r="S67" i="5"/>
  <c r="X67" i="5" s="1"/>
  <c r="K8" i="35"/>
  <c r="T8" i="35" s="1"/>
  <c r="AB8" i="35" s="1"/>
  <c r="AC8" i="35" s="1"/>
  <c r="AD8" i="35" s="1"/>
  <c r="S51" i="5"/>
  <c r="S43" i="5"/>
  <c r="S35" i="5"/>
  <c r="S27" i="5"/>
  <c r="S19" i="5"/>
  <c r="S11" i="5"/>
  <c r="S122" i="5"/>
  <c r="X122" i="5" s="1"/>
  <c r="S114" i="5"/>
  <c r="X114" i="5" s="1"/>
  <c r="S98" i="5"/>
  <c r="X98" i="5" s="1"/>
  <c r="S74" i="5"/>
  <c r="X74" i="5" s="1"/>
  <c r="S66" i="5"/>
  <c r="X66" i="5" s="1"/>
  <c r="P85" i="5"/>
  <c r="Y85" i="5" s="1"/>
  <c r="K7" i="35"/>
  <c r="T7" i="35" s="1"/>
  <c r="AB7" i="35" s="1"/>
  <c r="AC7" i="35" s="1"/>
  <c r="AD7" i="35" s="1"/>
  <c r="S50" i="5"/>
  <c r="S42" i="5"/>
  <c r="S34" i="5"/>
  <c r="S26" i="5"/>
  <c r="S18" i="5"/>
  <c r="S10" i="5"/>
  <c r="S121" i="5"/>
  <c r="X121" i="5" s="1"/>
  <c r="S105" i="5"/>
  <c r="X105" i="5" s="1"/>
  <c r="S97" i="5"/>
  <c r="X97" i="5" s="1"/>
  <c r="S89" i="5"/>
  <c r="X89" i="5" s="1"/>
  <c r="S81" i="5"/>
  <c r="X81" i="5" s="1"/>
  <c r="S65" i="5"/>
  <c r="X65" i="5" s="1"/>
  <c r="S57" i="5"/>
  <c r="X57" i="5" s="1"/>
  <c r="K6" i="35"/>
  <c r="T6" i="35" s="1"/>
  <c r="AB6" i="35" s="1"/>
  <c r="AC6" i="35" s="1"/>
  <c r="AD6" i="35" s="1"/>
  <c r="S49" i="5"/>
  <c r="S41" i="5"/>
  <c r="S33" i="5"/>
  <c r="S25" i="5"/>
  <c r="S17" i="5"/>
  <c r="S9" i="5"/>
  <c r="S120" i="5"/>
  <c r="X120" i="5" s="1"/>
  <c r="S112" i="5"/>
  <c r="X112" i="5" s="1"/>
  <c r="S104" i="5"/>
  <c r="X104" i="5" s="1"/>
  <c r="S96" i="5"/>
  <c r="X96" i="5" s="1"/>
  <c r="S88" i="5"/>
  <c r="X88" i="5" s="1"/>
  <c r="S80" i="5"/>
  <c r="X80" i="5" s="1"/>
  <c r="S72" i="5"/>
  <c r="X72" i="5" s="1"/>
  <c r="S64" i="5"/>
  <c r="X64" i="5" s="1"/>
  <c r="S56" i="5"/>
  <c r="X56" i="5" s="1"/>
  <c r="C72" i="2"/>
  <c r="M49" i="5" s="1"/>
  <c r="S48" i="5"/>
  <c r="S40" i="5"/>
  <c r="S32" i="5"/>
  <c r="S24" i="5"/>
  <c r="S16" i="5"/>
  <c r="S8" i="5"/>
  <c r="S111" i="5"/>
  <c r="X111" i="5" s="1"/>
  <c r="S47" i="5"/>
  <c r="S39" i="5"/>
  <c r="S31" i="5"/>
  <c r="P23" i="5"/>
  <c r="O15" i="5"/>
  <c r="S7" i="5"/>
  <c r="S110" i="5"/>
  <c r="X110" i="5" s="1"/>
  <c r="S94" i="5"/>
  <c r="X94" i="5" s="1"/>
  <c r="S62" i="5"/>
  <c r="X62" i="5" s="1"/>
  <c r="S54" i="5"/>
  <c r="X54" i="5" s="1"/>
  <c r="K14" i="35"/>
  <c r="T14" i="35" s="1"/>
  <c r="AB14" i="35" s="1"/>
  <c r="AC14" i="35" s="1"/>
  <c r="AD14" i="35" s="1"/>
  <c r="S4" i="35"/>
  <c r="V61" i="5"/>
  <c r="P68" i="5"/>
  <c r="Y68" i="5" s="1"/>
  <c r="P92" i="5"/>
  <c r="Y92" i="5" s="1"/>
  <c r="P108" i="5"/>
  <c r="Y108" i="5" s="1"/>
  <c r="P37" i="5"/>
  <c r="P84" i="5"/>
  <c r="Y84" i="5" s="1"/>
  <c r="P29" i="5"/>
  <c r="P116" i="5"/>
  <c r="Y116" i="5" s="1"/>
  <c r="P45" i="5"/>
  <c r="P76" i="5"/>
  <c r="Y76" i="5" s="1"/>
  <c r="P13" i="5"/>
  <c r="S23" i="5"/>
  <c r="P117" i="5"/>
  <c r="Y117" i="5" s="1"/>
  <c r="P28" i="5"/>
  <c r="P93" i="5"/>
  <c r="Y93" i="5" s="1"/>
  <c r="P53" i="5"/>
  <c r="Y53" i="5" s="1"/>
  <c r="V57" i="5"/>
  <c r="P20" i="5"/>
  <c r="O92" i="5"/>
  <c r="W92" i="5" s="1"/>
  <c r="S5" i="5"/>
  <c r="O69" i="5"/>
  <c r="W69" i="5" s="1"/>
  <c r="O68" i="5"/>
  <c r="W68" i="5" s="1"/>
  <c r="P47" i="5"/>
  <c r="V89" i="5"/>
  <c r="P101" i="5"/>
  <c r="Y101" i="5" s="1"/>
  <c r="V85" i="5"/>
  <c r="S109" i="5"/>
  <c r="X109" i="5" s="1"/>
  <c r="O47" i="5"/>
  <c r="S93" i="5"/>
  <c r="X93" i="5" s="1"/>
  <c r="P31" i="5"/>
  <c r="O4" i="5"/>
  <c r="O45" i="5"/>
  <c r="S77" i="5"/>
  <c r="X77" i="5" s="1"/>
  <c r="P7" i="5"/>
  <c r="P109" i="5"/>
  <c r="Y109" i="5" s="1"/>
  <c r="V111" i="5"/>
  <c r="O111" i="5"/>
  <c r="W111" i="5" s="1"/>
  <c r="O28" i="5"/>
  <c r="S61" i="5"/>
  <c r="X61" i="5" s="1"/>
  <c r="V110" i="5"/>
  <c r="O109" i="5"/>
  <c r="W109" i="5" s="1"/>
  <c r="O23" i="5"/>
  <c r="V99" i="5"/>
  <c r="O101" i="5"/>
  <c r="W101" i="5" s="1"/>
  <c r="V117" i="5"/>
  <c r="V94" i="5"/>
  <c r="V64" i="5"/>
  <c r="O117" i="5"/>
  <c r="W117" i="5" s="1"/>
  <c r="O95" i="5"/>
  <c r="W95" i="5" s="1"/>
  <c r="O76" i="5"/>
  <c r="W76" i="5" s="1"/>
  <c r="O53" i="5"/>
  <c r="W53" i="5" s="1"/>
  <c r="O31" i="5"/>
  <c r="O12" i="5"/>
  <c r="S85" i="5"/>
  <c r="X85" i="5" s="1"/>
  <c r="S53" i="5"/>
  <c r="X53" i="5" s="1"/>
  <c r="S12" i="5"/>
  <c r="V115" i="5"/>
  <c r="V93" i="5"/>
  <c r="V62" i="5"/>
  <c r="O116" i="5"/>
  <c r="W116" i="5" s="1"/>
  <c r="O71" i="5"/>
  <c r="W71" i="5" s="1"/>
  <c r="O52" i="5"/>
  <c r="W52" i="5" s="1"/>
  <c r="O29" i="5"/>
  <c r="O7" i="5"/>
  <c r="S116" i="5"/>
  <c r="X116" i="5" s="1"/>
  <c r="S84" i="5"/>
  <c r="X84" i="5" s="1"/>
  <c r="S52" i="5"/>
  <c r="X52" i="5" s="1"/>
  <c r="S108" i="5"/>
  <c r="X108" i="5" s="1"/>
  <c r="S76" i="5"/>
  <c r="X76" i="5" s="1"/>
  <c r="P100" i="5"/>
  <c r="Y100" i="5" s="1"/>
  <c r="P36" i="5"/>
  <c r="V105" i="5"/>
  <c r="V83" i="5"/>
  <c r="V54" i="5"/>
  <c r="O108" i="5"/>
  <c r="W108" i="5" s="1"/>
  <c r="O63" i="5"/>
  <c r="W63" i="5" s="1"/>
  <c r="O44" i="5"/>
  <c r="O21" i="5"/>
  <c r="P69" i="5"/>
  <c r="Y69" i="5" s="1"/>
  <c r="S101" i="5"/>
  <c r="X101" i="5" s="1"/>
  <c r="S69" i="5"/>
  <c r="X69" i="5" s="1"/>
  <c r="S44" i="5"/>
  <c r="S21" i="5"/>
  <c r="O87" i="5"/>
  <c r="W87" i="5" s="1"/>
  <c r="P60" i="5"/>
  <c r="Y60" i="5" s="1"/>
  <c r="V81" i="5"/>
  <c r="V52" i="5"/>
  <c r="O103" i="5"/>
  <c r="W103" i="5" s="1"/>
  <c r="O84" i="5"/>
  <c r="W84" i="5" s="1"/>
  <c r="O39" i="5"/>
  <c r="O20" i="5"/>
  <c r="S100" i="5"/>
  <c r="X100" i="5" s="1"/>
  <c r="S68" i="5"/>
  <c r="X68" i="5" s="1"/>
  <c r="O79" i="5"/>
  <c r="W79" i="5" s="1"/>
  <c r="O60" i="5"/>
  <c r="W60" i="5" s="1"/>
  <c r="O37" i="5"/>
  <c r="V121" i="5"/>
  <c r="V96" i="5"/>
  <c r="O119" i="5"/>
  <c r="W119" i="5" s="1"/>
  <c r="O100" i="5"/>
  <c r="W100" i="5" s="1"/>
  <c r="O77" i="5"/>
  <c r="W77" i="5" s="1"/>
  <c r="O55" i="5"/>
  <c r="W55" i="5" s="1"/>
  <c r="O36" i="5"/>
  <c r="O13" i="5"/>
  <c r="S92" i="5"/>
  <c r="X92" i="5" s="1"/>
  <c r="S60" i="5"/>
  <c r="X60" i="5" s="1"/>
  <c r="K238" i="35"/>
  <c r="L238" i="35" s="1"/>
  <c r="M238" i="35" s="1"/>
  <c r="K230" i="35"/>
  <c r="L230" i="35" s="1"/>
  <c r="M230" i="35" s="1"/>
  <c r="K222" i="35"/>
  <c r="K214" i="35"/>
  <c r="L214" i="35" s="1"/>
  <c r="M214" i="35" s="1"/>
  <c r="K206" i="35"/>
  <c r="L206" i="35" s="1"/>
  <c r="M206" i="35" s="1"/>
  <c r="K198" i="35"/>
  <c r="K190" i="35"/>
  <c r="L190" i="35" s="1"/>
  <c r="M190" i="35" s="1"/>
  <c r="K182" i="35"/>
  <c r="L182" i="35" s="1"/>
  <c r="M182" i="35" s="1"/>
  <c r="K174" i="35"/>
  <c r="L174" i="35" s="1"/>
  <c r="M174" i="35" s="1"/>
  <c r="K166" i="35"/>
  <c r="L166" i="35" s="1"/>
  <c r="M166" i="35" s="1"/>
  <c r="K158" i="35"/>
  <c r="L158" i="35" s="1"/>
  <c r="M158" i="35" s="1"/>
  <c r="K150" i="35"/>
  <c r="L150" i="35" s="1"/>
  <c r="M150" i="35" s="1"/>
  <c r="K142" i="35"/>
  <c r="L142" i="35" s="1"/>
  <c r="M142" i="35" s="1"/>
  <c r="K134" i="35"/>
  <c r="K126" i="35"/>
  <c r="K237" i="35"/>
  <c r="L237" i="35" s="1"/>
  <c r="M237" i="35" s="1"/>
  <c r="K229" i="35"/>
  <c r="L229" i="35" s="1"/>
  <c r="M229" i="35" s="1"/>
  <c r="K221" i="35"/>
  <c r="L221" i="35" s="1"/>
  <c r="M221" i="35" s="1"/>
  <c r="K213" i="35"/>
  <c r="L213" i="35" s="1"/>
  <c r="M213" i="35" s="1"/>
  <c r="K205" i="35"/>
  <c r="L205" i="35" s="1"/>
  <c r="M205" i="35" s="1"/>
  <c r="K197" i="35"/>
  <c r="L197" i="35" s="1"/>
  <c r="M197" i="35" s="1"/>
  <c r="K189" i="35"/>
  <c r="K181" i="35"/>
  <c r="L181" i="35" s="1"/>
  <c r="M181" i="35" s="1"/>
  <c r="K173" i="35"/>
  <c r="L173" i="35" s="1"/>
  <c r="M173" i="35" s="1"/>
  <c r="K165" i="35"/>
  <c r="L165" i="35" s="1"/>
  <c r="M165" i="35" s="1"/>
  <c r="K157" i="35"/>
  <c r="L157" i="35" s="1"/>
  <c r="M157" i="35" s="1"/>
  <c r="K149" i="35"/>
  <c r="L149" i="35" s="1"/>
  <c r="M149" i="35" s="1"/>
  <c r="K141" i="35"/>
  <c r="L141" i="35" s="1"/>
  <c r="M141" i="35" s="1"/>
  <c r="K133" i="35"/>
  <c r="L133" i="35" s="1"/>
  <c r="M133" i="35" s="1"/>
  <c r="K125" i="35"/>
  <c r="K236" i="35"/>
  <c r="L236" i="35" s="1"/>
  <c r="M236" i="35" s="1"/>
  <c r="K228" i="35"/>
  <c r="K220" i="35"/>
  <c r="L220" i="35" s="1"/>
  <c r="M220" i="35" s="1"/>
  <c r="K212" i="35"/>
  <c r="L212" i="35" s="1"/>
  <c r="M212" i="35" s="1"/>
  <c r="K204" i="35"/>
  <c r="L204" i="35" s="1"/>
  <c r="M204" i="35" s="1"/>
  <c r="K196" i="35"/>
  <c r="L196" i="35" s="1"/>
  <c r="M196" i="35" s="1"/>
  <c r="K188" i="35"/>
  <c r="L188" i="35" s="1"/>
  <c r="M188" i="35" s="1"/>
  <c r="K180" i="35"/>
  <c r="K172" i="35"/>
  <c r="L172" i="35" s="1"/>
  <c r="M172" i="35" s="1"/>
  <c r="K164" i="35"/>
  <c r="L164" i="35" s="1"/>
  <c r="M164" i="35" s="1"/>
  <c r="K156" i="35"/>
  <c r="L156" i="35" s="1"/>
  <c r="M156" i="35" s="1"/>
  <c r="K148" i="35"/>
  <c r="L148" i="35" s="1"/>
  <c r="M148" i="35" s="1"/>
  <c r="K140" i="35"/>
  <c r="L140" i="35" s="1"/>
  <c r="M140" i="35" s="1"/>
  <c r="K132" i="35"/>
  <c r="P4" i="5"/>
  <c r="Y4" i="5" s="1"/>
  <c r="K243" i="35"/>
  <c r="L243" i="35" s="1"/>
  <c r="M243" i="35" s="1"/>
  <c r="K235" i="35"/>
  <c r="L235" i="35" s="1"/>
  <c r="M235" i="35" s="1"/>
  <c r="K227" i="35"/>
  <c r="K219" i="35"/>
  <c r="L219" i="35" s="1"/>
  <c r="M219" i="35" s="1"/>
  <c r="K211" i="35"/>
  <c r="L211" i="35" s="1"/>
  <c r="M211" i="35" s="1"/>
  <c r="K203" i="35"/>
  <c r="L203" i="35" s="1"/>
  <c r="M203" i="35" s="1"/>
  <c r="K195" i="35"/>
  <c r="L195" i="35" s="1"/>
  <c r="M195" i="35" s="1"/>
  <c r="K187" i="35"/>
  <c r="L187" i="35" s="1"/>
  <c r="M187" i="35" s="1"/>
  <c r="K179" i="35"/>
  <c r="L179" i="35" s="1"/>
  <c r="M179" i="35" s="1"/>
  <c r="K171" i="35"/>
  <c r="L171" i="35" s="1"/>
  <c r="M171" i="35" s="1"/>
  <c r="K163" i="35"/>
  <c r="K155" i="35"/>
  <c r="K147" i="35"/>
  <c r="L147" i="35" s="1"/>
  <c r="M147" i="35" s="1"/>
  <c r="K139" i="35"/>
  <c r="L139" i="35" s="1"/>
  <c r="M139" i="35" s="1"/>
  <c r="K131" i="35"/>
  <c r="L131" i="35" s="1"/>
  <c r="M131" i="35" s="1"/>
  <c r="K242" i="35"/>
  <c r="L242" i="35" s="1"/>
  <c r="M242" i="35" s="1"/>
  <c r="K234" i="35"/>
  <c r="L234" i="35" s="1"/>
  <c r="M234" i="35" s="1"/>
  <c r="K226" i="35"/>
  <c r="L226" i="35" s="1"/>
  <c r="M226" i="35" s="1"/>
  <c r="K218" i="35"/>
  <c r="L218" i="35" s="1"/>
  <c r="M218" i="35" s="1"/>
  <c r="K210" i="35"/>
  <c r="L210" i="35" s="1"/>
  <c r="M210" i="35" s="1"/>
  <c r="K202" i="35"/>
  <c r="L202" i="35" s="1"/>
  <c r="M202" i="35" s="1"/>
  <c r="K194" i="35"/>
  <c r="L194" i="35" s="1"/>
  <c r="M194" i="35" s="1"/>
  <c r="K186" i="35"/>
  <c r="L186" i="35" s="1"/>
  <c r="M186" i="35" s="1"/>
  <c r="K178" i="35"/>
  <c r="L178" i="35" s="1"/>
  <c r="M178" i="35" s="1"/>
  <c r="K170" i="35"/>
  <c r="L170" i="35" s="1"/>
  <c r="M170" i="35" s="1"/>
  <c r="K162" i="35"/>
  <c r="L162" i="35" s="1"/>
  <c r="M162" i="35" s="1"/>
  <c r="K154" i="35"/>
  <c r="L154" i="35" s="1"/>
  <c r="M154" i="35" s="1"/>
  <c r="K146" i="35"/>
  <c r="L146" i="35" s="1"/>
  <c r="M146" i="35" s="1"/>
  <c r="K138" i="35"/>
  <c r="L138" i="35" s="1"/>
  <c r="M138" i="35" s="1"/>
  <c r="K130" i="35"/>
  <c r="L130" i="35" s="1"/>
  <c r="M130" i="35" s="1"/>
  <c r="K241" i="35"/>
  <c r="L241" i="35" s="1"/>
  <c r="M241" i="35" s="1"/>
  <c r="K233" i="35"/>
  <c r="L233" i="35" s="1"/>
  <c r="M233" i="35" s="1"/>
  <c r="K225" i="35"/>
  <c r="L225" i="35" s="1"/>
  <c r="M225" i="35" s="1"/>
  <c r="K217" i="35"/>
  <c r="L217" i="35" s="1"/>
  <c r="M217" i="35" s="1"/>
  <c r="K209" i="35"/>
  <c r="L209" i="35" s="1"/>
  <c r="M209" i="35" s="1"/>
  <c r="K201" i="35"/>
  <c r="L201" i="35" s="1"/>
  <c r="M201" i="35" s="1"/>
  <c r="K193" i="35"/>
  <c r="L193" i="35" s="1"/>
  <c r="M193" i="35" s="1"/>
  <c r="K185" i="35"/>
  <c r="L185" i="35" s="1"/>
  <c r="M185" i="35" s="1"/>
  <c r="K177" i="35"/>
  <c r="L177" i="35" s="1"/>
  <c r="M177" i="35" s="1"/>
  <c r="K169" i="35"/>
  <c r="L169" i="35" s="1"/>
  <c r="M169" i="35" s="1"/>
  <c r="K161" i="35"/>
  <c r="L161" i="35" s="1"/>
  <c r="M161" i="35" s="1"/>
  <c r="K153" i="35"/>
  <c r="L153" i="35" s="1"/>
  <c r="M153" i="35" s="1"/>
  <c r="K145" i="35"/>
  <c r="L145" i="35" s="1"/>
  <c r="M145" i="35" s="1"/>
  <c r="K137" i="35"/>
  <c r="L137" i="35" s="1"/>
  <c r="M137" i="35" s="1"/>
  <c r="L258" i="35"/>
  <c r="M258" i="35" s="1"/>
  <c r="Q4" i="5"/>
  <c r="K503" i="35"/>
  <c r="L503" i="35" s="1"/>
  <c r="M503" i="35" s="1"/>
  <c r="K498" i="35"/>
  <c r="L498" i="35" s="1"/>
  <c r="M498" i="35" s="1"/>
  <c r="K493" i="35"/>
  <c r="L493" i="35" s="1"/>
  <c r="M493" i="35" s="1"/>
  <c r="K485" i="35"/>
  <c r="L485" i="35" s="1"/>
  <c r="M485" i="35" s="1"/>
  <c r="K486" i="35"/>
  <c r="L486" i="35" s="1"/>
  <c r="M486" i="35" s="1"/>
  <c r="K495" i="35"/>
  <c r="L495" i="35" s="1"/>
  <c r="M495" i="35" s="1"/>
  <c r="K490" i="35"/>
  <c r="L490" i="35" s="1"/>
  <c r="M490" i="35" s="1"/>
  <c r="K505" i="35"/>
  <c r="L505" i="35" s="1"/>
  <c r="M505" i="35" s="1"/>
  <c r="K500" i="35"/>
  <c r="L500" i="35" s="1"/>
  <c r="M500" i="35" s="1"/>
  <c r="K487" i="35"/>
  <c r="L487" i="35" s="1"/>
  <c r="M487" i="35" s="1"/>
  <c r="L484" i="35"/>
  <c r="M484" i="35" s="1"/>
  <c r="K504" i="35"/>
  <c r="L504" i="35" s="1"/>
  <c r="M504" i="35" s="1"/>
  <c r="K502" i="35"/>
  <c r="L502" i="35" s="1"/>
  <c r="M502" i="35" s="1"/>
  <c r="K497" i="35"/>
  <c r="L497" i="35" s="1"/>
  <c r="M497" i="35" s="1"/>
  <c r="K492" i="35"/>
  <c r="L492" i="35" s="1"/>
  <c r="M492" i="35" s="1"/>
  <c r="K499" i="35"/>
  <c r="L499" i="35" s="1"/>
  <c r="M499" i="35" s="1"/>
  <c r="K507" i="35"/>
  <c r="L507" i="35" s="1"/>
  <c r="M507" i="35" s="1"/>
  <c r="K494" i="35"/>
  <c r="L494" i="35" s="1"/>
  <c r="M494" i="35" s="1"/>
  <c r="K489" i="35"/>
  <c r="L489" i="35" s="1"/>
  <c r="M489" i="35" s="1"/>
  <c r="K496" i="35"/>
  <c r="L496" i="35" s="1"/>
  <c r="M496" i="35" s="1"/>
  <c r="K491" i="35"/>
  <c r="L491" i="35" s="1"/>
  <c r="M491" i="35" s="1"/>
  <c r="K506" i="35"/>
  <c r="L506" i="35" s="1"/>
  <c r="M506" i="35" s="1"/>
  <c r="K501" i="35"/>
  <c r="L501" i="35" s="1"/>
  <c r="M501" i="35" s="1"/>
  <c r="K488" i="35"/>
  <c r="L488" i="35" s="1"/>
  <c r="M488" i="35" s="1"/>
  <c r="K240" i="35"/>
  <c r="L240" i="35" s="1"/>
  <c r="M240" i="35" s="1"/>
  <c r="K232" i="35"/>
  <c r="L232" i="35" s="1"/>
  <c r="M232" i="35" s="1"/>
  <c r="K224" i="35"/>
  <c r="L224" i="35" s="1"/>
  <c r="M224" i="35" s="1"/>
  <c r="K216" i="35"/>
  <c r="K208" i="35"/>
  <c r="L208" i="35" s="1"/>
  <c r="M208" i="35" s="1"/>
  <c r="K200" i="35"/>
  <c r="K192" i="35"/>
  <c r="L192" i="35" s="1"/>
  <c r="M192" i="35" s="1"/>
  <c r="K184" i="35"/>
  <c r="L184" i="35" s="1"/>
  <c r="M184" i="35" s="1"/>
  <c r="K176" i="35"/>
  <c r="L176" i="35" s="1"/>
  <c r="M176" i="35" s="1"/>
  <c r="K168" i="35"/>
  <c r="L168" i="35" s="1"/>
  <c r="M168" i="35" s="1"/>
  <c r="K160" i="35"/>
  <c r="L160" i="35" s="1"/>
  <c r="M160" i="35" s="1"/>
  <c r="K152" i="35"/>
  <c r="K144" i="35"/>
  <c r="K136" i="35"/>
  <c r="K128" i="35"/>
  <c r="P119" i="5"/>
  <c r="Y119" i="5" s="1"/>
  <c r="P111" i="5"/>
  <c r="Y111" i="5" s="1"/>
  <c r="P103" i="5"/>
  <c r="Y103" i="5" s="1"/>
  <c r="P95" i="5"/>
  <c r="Y95" i="5" s="1"/>
  <c r="P87" i="5"/>
  <c r="Y87" i="5" s="1"/>
  <c r="P79" i="5"/>
  <c r="Y79" i="5" s="1"/>
  <c r="P71" i="5"/>
  <c r="Y71" i="5" s="1"/>
  <c r="P63" i="5"/>
  <c r="Y63" i="5" s="1"/>
  <c r="P55" i="5"/>
  <c r="Y55" i="5" s="1"/>
  <c r="S119" i="5"/>
  <c r="X119" i="5" s="1"/>
  <c r="S103" i="5"/>
  <c r="X103" i="5" s="1"/>
  <c r="S95" i="5"/>
  <c r="X95" i="5" s="1"/>
  <c r="S87" i="5"/>
  <c r="X87" i="5" s="1"/>
  <c r="S79" i="5"/>
  <c r="X79" i="5" s="1"/>
  <c r="S71" i="5"/>
  <c r="X71" i="5" s="1"/>
  <c r="S63" i="5"/>
  <c r="X63" i="5" s="1"/>
  <c r="S55" i="5"/>
  <c r="X55" i="5" s="1"/>
  <c r="V122" i="5"/>
  <c r="V112" i="5"/>
  <c r="V75" i="5"/>
  <c r="V67" i="5"/>
  <c r="O118" i="5"/>
  <c r="W118" i="5" s="1"/>
  <c r="O110" i="5"/>
  <c r="W110" i="5" s="1"/>
  <c r="O102" i="5"/>
  <c r="W102" i="5" s="1"/>
  <c r="O94" i="5"/>
  <c r="W94" i="5" s="1"/>
  <c r="O86" i="5"/>
  <c r="W86" i="5" s="1"/>
  <c r="O78" i="5"/>
  <c r="W78" i="5" s="1"/>
  <c r="O70" i="5"/>
  <c r="W70" i="5" s="1"/>
  <c r="O62" i="5"/>
  <c r="W62" i="5" s="1"/>
  <c r="O54" i="5"/>
  <c r="W54" i="5" s="1"/>
  <c r="O46" i="5"/>
  <c r="O38" i="5"/>
  <c r="O30" i="5"/>
  <c r="O22" i="5"/>
  <c r="O14" i="5"/>
  <c r="O6" i="5"/>
  <c r="P118" i="5"/>
  <c r="Y118" i="5" s="1"/>
  <c r="P110" i="5"/>
  <c r="Y110" i="5" s="1"/>
  <c r="P102" i="5"/>
  <c r="Y102" i="5" s="1"/>
  <c r="P94" i="5"/>
  <c r="Y94" i="5" s="1"/>
  <c r="P86" i="5"/>
  <c r="Y86" i="5" s="1"/>
  <c r="P78" i="5"/>
  <c r="Y78" i="5" s="1"/>
  <c r="P70" i="5"/>
  <c r="Y70" i="5" s="1"/>
  <c r="P62" i="5"/>
  <c r="Y62" i="5" s="1"/>
  <c r="P54" i="5"/>
  <c r="Y54" i="5" s="1"/>
  <c r="P46" i="5"/>
  <c r="P38" i="5"/>
  <c r="P30" i="5"/>
  <c r="P22" i="5"/>
  <c r="P14" i="5"/>
  <c r="P6" i="5"/>
  <c r="S118" i="5"/>
  <c r="X118" i="5" s="1"/>
  <c r="S102" i="5"/>
  <c r="X102" i="5" s="1"/>
  <c r="S86" i="5"/>
  <c r="X86" i="5" s="1"/>
  <c r="S78" i="5"/>
  <c r="X78" i="5" s="1"/>
  <c r="S70" i="5"/>
  <c r="X70" i="5" s="1"/>
  <c r="V72" i="5"/>
  <c r="V66" i="5"/>
  <c r="V98" i="5"/>
  <c r="V80" i="5"/>
  <c r="V74" i="5"/>
  <c r="O123" i="5"/>
  <c r="W123" i="5" s="1"/>
  <c r="O115" i="5"/>
  <c r="W115" i="5" s="1"/>
  <c r="O107" i="5"/>
  <c r="W107" i="5" s="1"/>
  <c r="O99" i="5"/>
  <c r="W99" i="5" s="1"/>
  <c r="O91" i="5"/>
  <c r="W91" i="5" s="1"/>
  <c r="O83" i="5"/>
  <c r="W83" i="5" s="1"/>
  <c r="O75" i="5"/>
  <c r="W75" i="5" s="1"/>
  <c r="O67" i="5"/>
  <c r="W67" i="5" s="1"/>
  <c r="O59" i="5"/>
  <c r="W59" i="5" s="1"/>
  <c r="O51" i="5"/>
  <c r="O43" i="5"/>
  <c r="O35" i="5"/>
  <c r="O27" i="5"/>
  <c r="O19" i="5"/>
  <c r="O11" i="5"/>
  <c r="P123" i="5"/>
  <c r="Y123" i="5" s="1"/>
  <c r="P115" i="5"/>
  <c r="Y115" i="5" s="1"/>
  <c r="P107" i="5"/>
  <c r="Y107" i="5" s="1"/>
  <c r="P99" i="5"/>
  <c r="Y99" i="5" s="1"/>
  <c r="P91" i="5"/>
  <c r="Y91" i="5" s="1"/>
  <c r="P83" i="5"/>
  <c r="Y83" i="5" s="1"/>
  <c r="P75" i="5"/>
  <c r="Y75" i="5" s="1"/>
  <c r="P67" i="5"/>
  <c r="Y67" i="5" s="1"/>
  <c r="P59" i="5"/>
  <c r="Y59" i="5" s="1"/>
  <c r="P51" i="5"/>
  <c r="P43" i="5"/>
  <c r="P35" i="5"/>
  <c r="P27" i="5"/>
  <c r="P19" i="5"/>
  <c r="P11" i="5"/>
  <c r="S123" i="5"/>
  <c r="X123" i="5" s="1"/>
  <c r="S107" i="5"/>
  <c r="X107" i="5" s="1"/>
  <c r="S91" i="5"/>
  <c r="X91" i="5" s="1"/>
  <c r="S59" i="5"/>
  <c r="X59" i="5" s="1"/>
  <c r="V120" i="5"/>
  <c r="V114" i="5"/>
  <c r="V104" i="5"/>
  <c r="V88" i="5"/>
  <c r="V65" i="5"/>
  <c r="O122" i="5"/>
  <c r="W122" i="5" s="1"/>
  <c r="O114" i="5"/>
  <c r="W114" i="5" s="1"/>
  <c r="O106" i="5"/>
  <c r="W106" i="5" s="1"/>
  <c r="O98" i="5"/>
  <c r="W98" i="5" s="1"/>
  <c r="O90" i="5"/>
  <c r="W90" i="5" s="1"/>
  <c r="O82" i="5"/>
  <c r="W82" i="5" s="1"/>
  <c r="O74" i="5"/>
  <c r="W74" i="5" s="1"/>
  <c r="O66" i="5"/>
  <c r="W66" i="5" s="1"/>
  <c r="O58" i="5"/>
  <c r="W58" i="5" s="1"/>
  <c r="O50" i="5"/>
  <c r="O42" i="5"/>
  <c r="O34" i="5"/>
  <c r="O26" i="5"/>
  <c r="O18" i="5"/>
  <c r="O10" i="5"/>
  <c r="P122" i="5"/>
  <c r="Y122" i="5" s="1"/>
  <c r="P114" i="5"/>
  <c r="Y114" i="5" s="1"/>
  <c r="P106" i="5"/>
  <c r="Y106" i="5" s="1"/>
  <c r="P98" i="5"/>
  <c r="Y98" i="5" s="1"/>
  <c r="P90" i="5"/>
  <c r="Y90" i="5" s="1"/>
  <c r="P82" i="5"/>
  <c r="Y82" i="5" s="1"/>
  <c r="P74" i="5"/>
  <c r="Y74" i="5" s="1"/>
  <c r="P66" i="5"/>
  <c r="Y66" i="5" s="1"/>
  <c r="P58" i="5"/>
  <c r="Y58" i="5" s="1"/>
  <c r="P50" i="5"/>
  <c r="P42" i="5"/>
  <c r="P34" i="5"/>
  <c r="P26" i="5"/>
  <c r="P18" i="5"/>
  <c r="P10" i="5"/>
  <c r="S106" i="5"/>
  <c r="X106" i="5" s="1"/>
  <c r="S90" i="5"/>
  <c r="X90" i="5" s="1"/>
  <c r="S82" i="5"/>
  <c r="X82" i="5" s="1"/>
  <c r="S58" i="5"/>
  <c r="X58" i="5" s="1"/>
  <c r="V97" i="5"/>
  <c r="V56" i="5"/>
  <c r="O121" i="5"/>
  <c r="W121" i="5" s="1"/>
  <c r="O113" i="5"/>
  <c r="W113" i="5" s="1"/>
  <c r="O105" i="5"/>
  <c r="W105" i="5" s="1"/>
  <c r="O97" i="5"/>
  <c r="W97" i="5" s="1"/>
  <c r="O89" i="5"/>
  <c r="W89" i="5" s="1"/>
  <c r="O81" i="5"/>
  <c r="W81" i="5" s="1"/>
  <c r="O73" i="5"/>
  <c r="W73" i="5" s="1"/>
  <c r="O65" i="5"/>
  <c r="W65" i="5" s="1"/>
  <c r="O57" i="5"/>
  <c r="W57" i="5" s="1"/>
  <c r="O49" i="5"/>
  <c r="O41" i="5"/>
  <c r="O33" i="5"/>
  <c r="O25" i="5"/>
  <c r="O17" i="5"/>
  <c r="O9" i="5"/>
  <c r="P121" i="5"/>
  <c r="Y121" i="5" s="1"/>
  <c r="P113" i="5"/>
  <c r="Y113" i="5" s="1"/>
  <c r="P105" i="5"/>
  <c r="Y105" i="5" s="1"/>
  <c r="P97" i="5"/>
  <c r="Y97" i="5" s="1"/>
  <c r="P89" i="5"/>
  <c r="Y89" i="5" s="1"/>
  <c r="P81" i="5"/>
  <c r="Y81" i="5" s="1"/>
  <c r="P73" i="5"/>
  <c r="Y73" i="5" s="1"/>
  <c r="P65" i="5"/>
  <c r="Y65" i="5" s="1"/>
  <c r="P57" i="5"/>
  <c r="Y57" i="5" s="1"/>
  <c r="P49" i="5"/>
  <c r="P41" i="5"/>
  <c r="P33" i="5"/>
  <c r="P25" i="5"/>
  <c r="P17" i="5"/>
  <c r="P9" i="5"/>
  <c r="S113" i="5"/>
  <c r="X113" i="5" s="1"/>
  <c r="S73" i="5"/>
  <c r="X73" i="5" s="1"/>
  <c r="O120" i="5"/>
  <c r="W120" i="5" s="1"/>
  <c r="O112" i="5"/>
  <c r="W112" i="5" s="1"/>
  <c r="O104" i="5"/>
  <c r="W104" i="5" s="1"/>
  <c r="O96" i="5"/>
  <c r="W96" i="5" s="1"/>
  <c r="O88" i="5"/>
  <c r="W88" i="5" s="1"/>
  <c r="O80" i="5"/>
  <c r="W80" i="5" s="1"/>
  <c r="O72" i="5"/>
  <c r="W72" i="5" s="1"/>
  <c r="O64" i="5"/>
  <c r="W64" i="5" s="1"/>
  <c r="O56" i="5"/>
  <c r="W56" i="5" s="1"/>
  <c r="O48" i="5"/>
  <c r="O40" i="5"/>
  <c r="O32" i="5"/>
  <c r="O24" i="5"/>
  <c r="O16" i="5"/>
  <c r="O8" i="5"/>
  <c r="P120" i="5"/>
  <c r="Y120" i="5" s="1"/>
  <c r="P112" i="5"/>
  <c r="Y112" i="5" s="1"/>
  <c r="P104" i="5"/>
  <c r="Y104" i="5" s="1"/>
  <c r="P96" i="5"/>
  <c r="Y96" i="5" s="1"/>
  <c r="P88" i="5"/>
  <c r="Y88" i="5" s="1"/>
  <c r="P80" i="5"/>
  <c r="Y80" i="5" s="1"/>
  <c r="P72" i="5"/>
  <c r="Y72" i="5" s="1"/>
  <c r="P64" i="5"/>
  <c r="Y64" i="5" s="1"/>
  <c r="P56" i="5"/>
  <c r="Y56" i="5" s="1"/>
  <c r="P48" i="5"/>
  <c r="P40" i="5"/>
  <c r="P32" i="5"/>
  <c r="P24" i="5"/>
  <c r="P16" i="5"/>
  <c r="P8" i="5"/>
  <c r="Y3" i="5"/>
  <c r="AA3" i="5"/>
  <c r="S3" i="5"/>
  <c r="K117" i="35"/>
  <c r="T117" i="35" s="1"/>
  <c r="AB117" i="35" s="1"/>
  <c r="AC117" i="35" s="1"/>
  <c r="AD117" i="35" s="1"/>
  <c r="K109" i="35"/>
  <c r="T109" i="35" s="1"/>
  <c r="AB109" i="35" s="1"/>
  <c r="AC109" i="35" s="1"/>
  <c r="AD109" i="35" s="1"/>
  <c r="K101" i="35"/>
  <c r="T101" i="35" s="1"/>
  <c r="AB101" i="35" s="1"/>
  <c r="AC101" i="35" s="1"/>
  <c r="AD101" i="35" s="1"/>
  <c r="K93" i="35"/>
  <c r="K85" i="35"/>
  <c r="T85" i="35" s="1"/>
  <c r="AB85" i="35" s="1"/>
  <c r="AC85" i="35" s="1"/>
  <c r="AD85" i="35" s="1"/>
  <c r="K77" i="35"/>
  <c r="K69" i="35"/>
  <c r="T69" i="35" s="1"/>
  <c r="AB69" i="35" s="1"/>
  <c r="AC69" i="35" s="1"/>
  <c r="AD69" i="35" s="1"/>
  <c r="K61" i="35"/>
  <c r="T61" i="35" s="1"/>
  <c r="AB61" i="35" s="1"/>
  <c r="AC61" i="35" s="1"/>
  <c r="AD61" i="35" s="1"/>
  <c r="K53" i="35"/>
  <c r="T53" i="35" s="1"/>
  <c r="AB53" i="35" s="1"/>
  <c r="AC53" i="35" s="1"/>
  <c r="AD53" i="35" s="1"/>
  <c r="K45" i="35"/>
  <c r="T45" i="35" s="1"/>
  <c r="AB45" i="35" s="1"/>
  <c r="AC45" i="35" s="1"/>
  <c r="AD45" i="35" s="1"/>
  <c r="K37" i="35"/>
  <c r="T37" i="35" s="1"/>
  <c r="AB37" i="35" s="1"/>
  <c r="AC37" i="35" s="1"/>
  <c r="AD37" i="35" s="1"/>
  <c r="K29" i="35"/>
  <c r="K21" i="35"/>
  <c r="T21" i="35" s="1"/>
  <c r="AB21" i="35" s="1"/>
  <c r="AC21" i="35" s="1"/>
  <c r="AD21" i="35" s="1"/>
  <c r="K116" i="35"/>
  <c r="K108" i="35"/>
  <c r="K100" i="35"/>
  <c r="T100" i="35" s="1"/>
  <c r="AB100" i="35" s="1"/>
  <c r="AC100" i="35" s="1"/>
  <c r="AD100" i="35" s="1"/>
  <c r="K92" i="35"/>
  <c r="K84" i="35"/>
  <c r="K76" i="35"/>
  <c r="T76" i="35" s="1"/>
  <c r="AB76" i="35" s="1"/>
  <c r="AC76" i="35" s="1"/>
  <c r="AD76" i="35" s="1"/>
  <c r="K68" i="35"/>
  <c r="K60" i="35"/>
  <c r="K52" i="35"/>
  <c r="T52" i="35" s="1"/>
  <c r="AB52" i="35" s="1"/>
  <c r="AC52" i="35" s="1"/>
  <c r="AD52" i="35" s="1"/>
  <c r="K44" i="35"/>
  <c r="K36" i="35"/>
  <c r="T36" i="35" s="1"/>
  <c r="AB36" i="35" s="1"/>
  <c r="AC36" i="35" s="1"/>
  <c r="AD36" i="35" s="1"/>
  <c r="K28" i="35"/>
  <c r="K20" i="35"/>
  <c r="T20" i="35" s="1"/>
  <c r="AB20" i="35" s="1"/>
  <c r="AC20" i="35" s="1"/>
  <c r="AD20" i="35" s="1"/>
  <c r="K115" i="35"/>
  <c r="T115" i="35" s="1"/>
  <c r="AB115" i="35" s="1"/>
  <c r="AC115" i="35" s="1"/>
  <c r="AD115" i="35" s="1"/>
  <c r="K107" i="35"/>
  <c r="K99" i="35"/>
  <c r="T99" i="35" s="1"/>
  <c r="AB99" i="35" s="1"/>
  <c r="AC99" i="35" s="1"/>
  <c r="AD99" i="35" s="1"/>
  <c r="K91" i="35"/>
  <c r="T91" i="35" s="1"/>
  <c r="AB91" i="35" s="1"/>
  <c r="AC91" i="35" s="1"/>
  <c r="AD91" i="35" s="1"/>
  <c r="K83" i="35"/>
  <c r="G106" i="2" s="1"/>
  <c r="K75" i="35"/>
  <c r="T75" i="35" s="1"/>
  <c r="AB75" i="35" s="1"/>
  <c r="AC75" i="35" s="1"/>
  <c r="AD75" i="35" s="1"/>
  <c r="K67" i="35"/>
  <c r="K59" i="35"/>
  <c r="T59" i="35" s="1"/>
  <c r="AB59" i="35" s="1"/>
  <c r="AC59" i="35" s="1"/>
  <c r="AD59" i="35" s="1"/>
  <c r="K51" i="35"/>
  <c r="T51" i="35" s="1"/>
  <c r="AB51" i="35" s="1"/>
  <c r="AC51" i="35" s="1"/>
  <c r="AD51" i="35" s="1"/>
  <c r="K43" i="35"/>
  <c r="K35" i="35"/>
  <c r="T35" i="35" s="1"/>
  <c r="AB35" i="35" s="1"/>
  <c r="AC35" i="35" s="1"/>
  <c r="AD35" i="35" s="1"/>
  <c r="K27" i="35"/>
  <c r="T27" i="35" s="1"/>
  <c r="AB27" i="35" s="1"/>
  <c r="AC27" i="35" s="1"/>
  <c r="AD27" i="35" s="1"/>
  <c r="K19" i="35"/>
  <c r="K122" i="35"/>
  <c r="K114" i="35"/>
  <c r="T114" i="35" s="1"/>
  <c r="AB114" i="35" s="1"/>
  <c r="AC114" i="35" s="1"/>
  <c r="AD114" i="35" s="1"/>
  <c r="K106" i="35"/>
  <c r="K98" i="35"/>
  <c r="K90" i="35"/>
  <c r="T90" i="35" s="1"/>
  <c r="AB90" i="35" s="1"/>
  <c r="AC90" i="35" s="1"/>
  <c r="AD90" i="35" s="1"/>
  <c r="K82" i="35"/>
  <c r="T82" i="35" s="1"/>
  <c r="AB82" i="35" s="1"/>
  <c r="AC82" i="35" s="1"/>
  <c r="AD82" i="35" s="1"/>
  <c r="K74" i="35"/>
  <c r="K66" i="35"/>
  <c r="T66" i="35" s="1"/>
  <c r="AB66" i="35" s="1"/>
  <c r="AC66" i="35" s="1"/>
  <c r="AD66" i="35" s="1"/>
  <c r="K58" i="35"/>
  <c r="K50" i="35"/>
  <c r="T50" i="35" s="1"/>
  <c r="AB50" i="35" s="1"/>
  <c r="AC50" i="35" s="1"/>
  <c r="AD50" i="35" s="1"/>
  <c r="K42" i="35"/>
  <c r="T42" i="35" s="1"/>
  <c r="AB42" i="35" s="1"/>
  <c r="AC42" i="35" s="1"/>
  <c r="AD42" i="35" s="1"/>
  <c r="K34" i="35"/>
  <c r="K26" i="35"/>
  <c r="T26" i="35" s="1"/>
  <c r="AB26" i="35" s="1"/>
  <c r="AC26" i="35" s="1"/>
  <c r="AD26" i="35" s="1"/>
  <c r="K18" i="35"/>
  <c r="T18" i="35" s="1"/>
  <c r="AB18" i="35" s="1"/>
  <c r="AC18" i="35" s="1"/>
  <c r="AD18" i="35" s="1"/>
  <c r="C63" i="2"/>
  <c r="M40" i="5" s="1"/>
  <c r="C84" i="2"/>
  <c r="M61" i="5" s="1"/>
  <c r="U61" i="5" s="1"/>
  <c r="C71" i="2"/>
  <c r="M48" i="5" s="1"/>
  <c r="C35" i="2"/>
  <c r="M12" i="5" s="1"/>
  <c r="C62" i="2"/>
  <c r="M39" i="5" s="1"/>
  <c r="F46" i="2"/>
  <c r="C126" i="2"/>
  <c r="M103" i="5" s="1"/>
  <c r="U103" i="5" s="1"/>
  <c r="K12" i="35"/>
  <c r="T12" i="35" s="1"/>
  <c r="AB12" i="35" s="1"/>
  <c r="AC12" i="35" s="1"/>
  <c r="AD12" i="35" s="1"/>
  <c r="C120" i="2"/>
  <c r="M97" i="5" s="1"/>
  <c r="U97" i="5" s="1"/>
  <c r="C27" i="2"/>
  <c r="C116" i="2"/>
  <c r="M93" i="5" s="1"/>
  <c r="U93" i="5" s="1"/>
  <c r="K11" i="35"/>
  <c r="C100" i="2"/>
  <c r="M77" i="5" s="1"/>
  <c r="U77" i="5" s="1"/>
  <c r="C28" i="2"/>
  <c r="M5" i="5" s="1"/>
  <c r="C104" i="2"/>
  <c r="M81" i="5" s="1"/>
  <c r="U81" i="5" s="1"/>
  <c r="K10" i="35"/>
  <c r="T10" i="35" s="1"/>
  <c r="AB10" i="35" s="1"/>
  <c r="AC10" i="35" s="1"/>
  <c r="AD10" i="35" s="1"/>
  <c r="L481" i="35"/>
  <c r="M481" i="35" s="1"/>
  <c r="L473" i="35"/>
  <c r="M473" i="35" s="1"/>
  <c r="L465" i="35"/>
  <c r="M465" i="35" s="1"/>
  <c r="L457" i="35"/>
  <c r="M457" i="35" s="1"/>
  <c r="L449" i="35"/>
  <c r="M449" i="35" s="1"/>
  <c r="L441" i="35"/>
  <c r="M441" i="35" s="1"/>
  <c r="L433" i="35"/>
  <c r="M433" i="35" s="1"/>
  <c r="L425" i="35"/>
  <c r="M425" i="35" s="1"/>
  <c r="L417" i="35"/>
  <c r="M417" i="35" s="1"/>
  <c r="L409" i="35"/>
  <c r="M409" i="35" s="1"/>
  <c r="L401" i="35"/>
  <c r="M401" i="35" s="1"/>
  <c r="L393" i="35"/>
  <c r="M393" i="35" s="1"/>
  <c r="L385" i="35"/>
  <c r="M385" i="35" s="1"/>
  <c r="L377" i="35"/>
  <c r="M377" i="35" s="1"/>
  <c r="L369" i="35"/>
  <c r="M369" i="35" s="1"/>
  <c r="L361" i="35"/>
  <c r="M361" i="35" s="1"/>
  <c r="L353" i="35"/>
  <c r="M353" i="35" s="1"/>
  <c r="L345" i="35"/>
  <c r="M345" i="35" s="1"/>
  <c r="L337" i="35"/>
  <c r="M337" i="35" s="1"/>
  <c r="L329" i="35"/>
  <c r="M329" i="35" s="1"/>
  <c r="L321" i="35"/>
  <c r="M321" i="35" s="1"/>
  <c r="L313" i="35"/>
  <c r="M313" i="35" s="1"/>
  <c r="L305" i="35"/>
  <c r="M305" i="35" s="1"/>
  <c r="L297" i="35"/>
  <c r="M297" i="35" s="1"/>
  <c r="L289" i="35"/>
  <c r="M289" i="35" s="1"/>
  <c r="L281" i="35"/>
  <c r="M281" i="35" s="1"/>
  <c r="L273" i="35"/>
  <c r="M273" i="35" s="1"/>
  <c r="L265" i="35"/>
  <c r="M265" i="35" s="1"/>
  <c r="L257" i="35"/>
  <c r="M257" i="35" s="1"/>
  <c r="L249" i="35"/>
  <c r="M249" i="35" s="1"/>
  <c r="K121" i="35"/>
  <c r="K113" i="35"/>
  <c r="K105" i="35"/>
  <c r="K97" i="35"/>
  <c r="T97" i="35" s="1"/>
  <c r="AB97" i="35" s="1"/>
  <c r="AC97" i="35" s="1"/>
  <c r="AD97" i="35" s="1"/>
  <c r="K89" i="35"/>
  <c r="T89" i="35" s="1"/>
  <c r="AB89" i="35" s="1"/>
  <c r="AC89" i="35" s="1"/>
  <c r="AD89" i="35" s="1"/>
  <c r="K81" i="35"/>
  <c r="T81" i="35" s="1"/>
  <c r="AB81" i="35" s="1"/>
  <c r="AC81" i="35" s="1"/>
  <c r="AD81" i="35" s="1"/>
  <c r="K73" i="35"/>
  <c r="K65" i="35"/>
  <c r="K57" i="35"/>
  <c r="K49" i="35"/>
  <c r="K41" i="35"/>
  <c r="T41" i="35" s="1"/>
  <c r="AB41" i="35" s="1"/>
  <c r="AC41" i="35" s="1"/>
  <c r="AD41" i="35" s="1"/>
  <c r="K33" i="35"/>
  <c r="T33" i="35" s="1"/>
  <c r="AB33" i="35" s="1"/>
  <c r="AC33" i="35" s="1"/>
  <c r="AD33" i="35" s="1"/>
  <c r="K25" i="35"/>
  <c r="T25" i="35" s="1"/>
  <c r="AB25" i="35" s="1"/>
  <c r="AC25" i="35" s="1"/>
  <c r="AD25" i="35" s="1"/>
  <c r="K17" i="35"/>
  <c r="T17" i="35" s="1"/>
  <c r="AB17" i="35" s="1"/>
  <c r="AC17" i="35" s="1"/>
  <c r="AD17" i="35" s="1"/>
  <c r="K120" i="35"/>
  <c r="T120" i="35" s="1"/>
  <c r="AB120" i="35" s="1"/>
  <c r="AC120" i="35" s="1"/>
  <c r="AD120" i="35" s="1"/>
  <c r="K112" i="35"/>
  <c r="T112" i="35" s="1"/>
  <c r="AB112" i="35" s="1"/>
  <c r="AC112" i="35" s="1"/>
  <c r="AD112" i="35" s="1"/>
  <c r="K104" i="35"/>
  <c r="T104" i="35" s="1"/>
  <c r="AB104" i="35" s="1"/>
  <c r="AC104" i="35" s="1"/>
  <c r="AD104" i="35" s="1"/>
  <c r="K96" i="35"/>
  <c r="T96" i="35" s="1"/>
  <c r="AB96" i="35" s="1"/>
  <c r="AC96" i="35" s="1"/>
  <c r="AD96" i="35" s="1"/>
  <c r="K88" i="35"/>
  <c r="K80" i="35"/>
  <c r="T80" i="35" s="1"/>
  <c r="AB80" i="35" s="1"/>
  <c r="AC80" i="35" s="1"/>
  <c r="AD80" i="35" s="1"/>
  <c r="K72" i="35"/>
  <c r="T72" i="35" s="1"/>
  <c r="AB72" i="35" s="1"/>
  <c r="AC72" i="35" s="1"/>
  <c r="AD72" i="35" s="1"/>
  <c r="K64" i="35"/>
  <c r="T64" i="35" s="1"/>
  <c r="AB64" i="35" s="1"/>
  <c r="AC64" i="35" s="1"/>
  <c r="AD64" i="35" s="1"/>
  <c r="K56" i="35"/>
  <c r="T56" i="35" s="1"/>
  <c r="AB56" i="35" s="1"/>
  <c r="AC56" i="35" s="1"/>
  <c r="AD56" i="35" s="1"/>
  <c r="K48" i="35"/>
  <c r="T48" i="35" s="1"/>
  <c r="AB48" i="35" s="1"/>
  <c r="AC48" i="35" s="1"/>
  <c r="AD48" i="35" s="1"/>
  <c r="K40" i="35"/>
  <c r="T40" i="35" s="1"/>
  <c r="AB40" i="35" s="1"/>
  <c r="AC40" i="35" s="1"/>
  <c r="AD40" i="35" s="1"/>
  <c r="K32" i="35"/>
  <c r="T32" i="35" s="1"/>
  <c r="AB32" i="35" s="1"/>
  <c r="AC32" i="35" s="1"/>
  <c r="AD32" i="35" s="1"/>
  <c r="K24" i="35"/>
  <c r="K16" i="35"/>
  <c r="T16" i="35" s="1"/>
  <c r="AB16" i="35" s="1"/>
  <c r="AC16" i="35" s="1"/>
  <c r="AD16" i="35" s="1"/>
  <c r="K119" i="35"/>
  <c r="K111" i="35"/>
  <c r="K103" i="35"/>
  <c r="K95" i="35"/>
  <c r="K87" i="35"/>
  <c r="K79" i="35"/>
  <c r="G102" i="2" s="1"/>
  <c r="K71" i="35"/>
  <c r="K63" i="35"/>
  <c r="G86" i="2" s="1"/>
  <c r="K55" i="35"/>
  <c r="K47" i="35"/>
  <c r="K39" i="35"/>
  <c r="K31" i="35"/>
  <c r="K23" i="35"/>
  <c r="T23" i="35" s="1"/>
  <c r="AB23" i="35" s="1"/>
  <c r="AC23" i="35" s="1"/>
  <c r="AD23" i="35" s="1"/>
  <c r="K15" i="35"/>
  <c r="C55" i="2"/>
  <c r="M32" i="5" s="1"/>
  <c r="C45" i="2"/>
  <c r="M22" i="5" s="1"/>
  <c r="K118" i="35"/>
  <c r="T118" i="35" s="1"/>
  <c r="AB118" i="35" s="1"/>
  <c r="AC118" i="35" s="1"/>
  <c r="AD118" i="35" s="1"/>
  <c r="K110" i="35"/>
  <c r="T110" i="35" s="1"/>
  <c r="AB110" i="35" s="1"/>
  <c r="AC110" i="35" s="1"/>
  <c r="AD110" i="35" s="1"/>
  <c r="K102" i="35"/>
  <c r="K94" i="35"/>
  <c r="T94" i="35" s="1"/>
  <c r="AB94" i="35" s="1"/>
  <c r="AC94" i="35" s="1"/>
  <c r="AD94" i="35" s="1"/>
  <c r="K86" i="35"/>
  <c r="K78" i="35"/>
  <c r="K70" i="35"/>
  <c r="T70" i="35" s="1"/>
  <c r="AB70" i="35" s="1"/>
  <c r="AC70" i="35" s="1"/>
  <c r="AD70" i="35" s="1"/>
  <c r="K62" i="35"/>
  <c r="T62" i="35" s="1"/>
  <c r="AB62" i="35" s="1"/>
  <c r="AC62" i="35" s="1"/>
  <c r="AD62" i="35" s="1"/>
  <c r="K54" i="35"/>
  <c r="T54" i="35" s="1"/>
  <c r="AB54" i="35" s="1"/>
  <c r="AC54" i="35" s="1"/>
  <c r="AD54" i="35" s="1"/>
  <c r="K46" i="35"/>
  <c r="T46" i="35" s="1"/>
  <c r="AB46" i="35" s="1"/>
  <c r="AC46" i="35" s="1"/>
  <c r="AD46" i="35" s="1"/>
  <c r="K38" i="35"/>
  <c r="K30" i="35"/>
  <c r="T30" i="35" s="1"/>
  <c r="AB30" i="35" s="1"/>
  <c r="AC30" i="35" s="1"/>
  <c r="AD30" i="35" s="1"/>
  <c r="K22" i="35"/>
  <c r="C54" i="2"/>
  <c r="M31" i="5" s="1"/>
  <c r="C145" i="2"/>
  <c r="M122" i="5" s="1"/>
  <c r="U122" i="5" s="1"/>
  <c r="C125" i="2"/>
  <c r="M102" i="5" s="1"/>
  <c r="U102" i="5" s="1"/>
  <c r="C103" i="2"/>
  <c r="M80" i="5" s="1"/>
  <c r="U80" i="5" s="1"/>
  <c r="C81" i="2"/>
  <c r="M58" i="5" s="1"/>
  <c r="U58" i="5" s="1"/>
  <c r="C61" i="2"/>
  <c r="M38" i="5" s="1"/>
  <c r="D110" i="2"/>
  <c r="Q110" i="2" s="1"/>
  <c r="R110" i="2" s="1"/>
  <c r="C53" i="2"/>
  <c r="M30" i="5" s="1"/>
  <c r="C43" i="2"/>
  <c r="M20" i="5" s="1"/>
  <c r="C144" i="2"/>
  <c r="M121" i="5" s="1"/>
  <c r="U121" i="5" s="1"/>
  <c r="C134" i="2"/>
  <c r="M111" i="5" s="1"/>
  <c r="U111" i="5" s="1"/>
  <c r="C124" i="2"/>
  <c r="M101" i="5" s="1"/>
  <c r="U101" i="5" s="1"/>
  <c r="C112" i="2"/>
  <c r="M89" i="5" s="1"/>
  <c r="U89" i="5" s="1"/>
  <c r="C102" i="2"/>
  <c r="M79" i="5" s="1"/>
  <c r="U79" i="5" s="1"/>
  <c r="C92" i="2"/>
  <c r="M69" i="5" s="1"/>
  <c r="U69" i="5" s="1"/>
  <c r="C80" i="2"/>
  <c r="M57" i="5" s="1"/>
  <c r="U57" i="5" s="1"/>
  <c r="C70" i="2"/>
  <c r="M47" i="5" s="1"/>
  <c r="C60" i="2"/>
  <c r="M37" i="5" s="1"/>
  <c r="D102" i="2"/>
  <c r="Q102" i="2" s="1"/>
  <c r="R102" i="2" s="1"/>
  <c r="C44" i="2"/>
  <c r="M21" i="5" s="1"/>
  <c r="C135" i="2"/>
  <c r="M112" i="5" s="1"/>
  <c r="U112" i="5" s="1"/>
  <c r="C113" i="2"/>
  <c r="M90" i="5" s="1"/>
  <c r="U90" i="5" s="1"/>
  <c r="C93" i="2"/>
  <c r="M70" i="5" s="1"/>
  <c r="U70" i="5" s="1"/>
  <c r="F145" i="2"/>
  <c r="I145" i="2" s="1"/>
  <c r="F137" i="2"/>
  <c r="I137" i="2" s="1"/>
  <c r="F129" i="2"/>
  <c r="I129" i="2" s="1"/>
  <c r="F121" i="2"/>
  <c r="I121" i="2" s="1"/>
  <c r="F113" i="2"/>
  <c r="I113" i="2" s="1"/>
  <c r="F105" i="2"/>
  <c r="I105" i="2" s="1"/>
  <c r="F97" i="2"/>
  <c r="F83" i="2"/>
  <c r="F75" i="2"/>
  <c r="F67" i="2"/>
  <c r="F59" i="2"/>
  <c r="F51" i="2"/>
  <c r="F43" i="2"/>
  <c r="F35" i="2"/>
  <c r="F27" i="2"/>
  <c r="D139" i="2"/>
  <c r="Q139" i="2" s="1"/>
  <c r="R139" i="2" s="1"/>
  <c r="D131" i="2"/>
  <c r="Q131" i="2" s="1"/>
  <c r="R131" i="2" s="1"/>
  <c r="D123" i="2"/>
  <c r="Q123" i="2" s="1"/>
  <c r="R123" i="2" s="1"/>
  <c r="D115" i="2"/>
  <c r="Q115" i="2" s="1"/>
  <c r="R115" i="2" s="1"/>
  <c r="D107" i="2"/>
  <c r="Q107" i="2" s="1"/>
  <c r="R107" i="2" s="1"/>
  <c r="D99" i="2"/>
  <c r="Q99" i="2" s="1"/>
  <c r="R99" i="2" s="1"/>
  <c r="D91" i="2"/>
  <c r="Q91" i="2" s="1"/>
  <c r="R91" i="2" s="1"/>
  <c r="D83" i="2"/>
  <c r="Q83" i="2" s="1"/>
  <c r="R83" i="2" s="1"/>
  <c r="D75" i="2"/>
  <c r="Q75" i="2" s="1"/>
  <c r="R75" i="2" s="1"/>
  <c r="D67" i="2"/>
  <c r="Q67" i="2" s="1"/>
  <c r="R67" i="2" s="1"/>
  <c r="D59" i="2"/>
  <c r="Q59" i="2" s="1"/>
  <c r="R59" i="2" s="1"/>
  <c r="D51" i="2"/>
  <c r="Q51" i="2" s="1"/>
  <c r="R51" i="2" s="1"/>
  <c r="D43" i="2"/>
  <c r="Q43" i="2" s="1"/>
  <c r="R43" i="2" s="1"/>
  <c r="D35" i="2"/>
  <c r="Q35" i="2" s="1"/>
  <c r="R35" i="2" s="1"/>
  <c r="D27" i="2"/>
  <c r="Q27" i="2" s="1"/>
  <c r="R27" i="2" s="1"/>
  <c r="J40" i="2"/>
  <c r="F144" i="2"/>
  <c r="I144" i="2" s="1"/>
  <c r="F136" i="2"/>
  <c r="I136" i="2" s="1"/>
  <c r="F128" i="2"/>
  <c r="I128" i="2" s="1"/>
  <c r="F120" i="2"/>
  <c r="I120" i="2" s="1"/>
  <c r="F112" i="2"/>
  <c r="I112" i="2" s="1"/>
  <c r="F104" i="2"/>
  <c r="I104" i="2" s="1"/>
  <c r="F90" i="2"/>
  <c r="F82" i="2"/>
  <c r="F74" i="2"/>
  <c r="F66" i="2"/>
  <c r="F58" i="2"/>
  <c r="F50" i="2"/>
  <c r="F42" i="2"/>
  <c r="F34" i="2"/>
  <c r="D146" i="2"/>
  <c r="Q146" i="2" s="1"/>
  <c r="R146" i="2" s="1"/>
  <c r="D138" i="2"/>
  <c r="Q138" i="2" s="1"/>
  <c r="R138" i="2" s="1"/>
  <c r="D130" i="2"/>
  <c r="Q130" i="2" s="1"/>
  <c r="R130" i="2" s="1"/>
  <c r="D122" i="2"/>
  <c r="Q122" i="2" s="1"/>
  <c r="R122" i="2" s="1"/>
  <c r="D114" i="2"/>
  <c r="Q114" i="2" s="1"/>
  <c r="R114" i="2" s="1"/>
  <c r="D106" i="2"/>
  <c r="Q106" i="2" s="1"/>
  <c r="R106" i="2" s="1"/>
  <c r="D98" i="2"/>
  <c r="Q98" i="2" s="1"/>
  <c r="R98" i="2" s="1"/>
  <c r="D90" i="2"/>
  <c r="Q90" i="2" s="1"/>
  <c r="R90" i="2" s="1"/>
  <c r="D82" i="2"/>
  <c r="Q82" i="2" s="1"/>
  <c r="R82" i="2" s="1"/>
  <c r="D74" i="2"/>
  <c r="Q74" i="2" s="1"/>
  <c r="R74" i="2" s="1"/>
  <c r="D66" i="2"/>
  <c r="Q66" i="2" s="1"/>
  <c r="R66" i="2" s="1"/>
  <c r="D58" i="2"/>
  <c r="Q58" i="2" s="1"/>
  <c r="R58" i="2" s="1"/>
  <c r="D50" i="2"/>
  <c r="Q50" i="2" s="1"/>
  <c r="R50" i="2" s="1"/>
  <c r="D42" i="2"/>
  <c r="Q42" i="2" s="1"/>
  <c r="R42" i="2" s="1"/>
  <c r="D34" i="2"/>
  <c r="Q34" i="2" s="1"/>
  <c r="R34" i="2" s="1"/>
  <c r="F143" i="2"/>
  <c r="I143" i="2" s="1"/>
  <c r="F135" i="2"/>
  <c r="I135" i="2" s="1"/>
  <c r="F127" i="2"/>
  <c r="I127" i="2" s="1"/>
  <c r="F119" i="2"/>
  <c r="I119" i="2" s="1"/>
  <c r="F111" i="2"/>
  <c r="I111" i="2" s="1"/>
  <c r="F103" i="2"/>
  <c r="I103" i="2" s="1"/>
  <c r="F89" i="2"/>
  <c r="F81" i="2"/>
  <c r="F73" i="2"/>
  <c r="F65" i="2"/>
  <c r="F57" i="2"/>
  <c r="F49" i="2"/>
  <c r="F41" i="2"/>
  <c r="F33" i="2"/>
  <c r="D145" i="2"/>
  <c r="Q145" i="2" s="1"/>
  <c r="R145" i="2" s="1"/>
  <c r="D137" i="2"/>
  <c r="Q137" i="2" s="1"/>
  <c r="R137" i="2" s="1"/>
  <c r="D129" i="2"/>
  <c r="Q129" i="2" s="1"/>
  <c r="R129" i="2" s="1"/>
  <c r="D121" i="2"/>
  <c r="Q121" i="2" s="1"/>
  <c r="R121" i="2" s="1"/>
  <c r="D113" i="2"/>
  <c r="Q113" i="2" s="1"/>
  <c r="R113" i="2" s="1"/>
  <c r="D105" i="2"/>
  <c r="Q105" i="2" s="1"/>
  <c r="R105" i="2" s="1"/>
  <c r="D97" i="2"/>
  <c r="Q97" i="2" s="1"/>
  <c r="R97" i="2" s="1"/>
  <c r="D89" i="2"/>
  <c r="Q89" i="2" s="1"/>
  <c r="R89" i="2" s="1"/>
  <c r="D81" i="2"/>
  <c r="Q81" i="2" s="1"/>
  <c r="R81" i="2" s="1"/>
  <c r="D73" i="2"/>
  <c r="Q73" i="2" s="1"/>
  <c r="R73" i="2" s="1"/>
  <c r="D65" i="2"/>
  <c r="Q65" i="2" s="1"/>
  <c r="R65" i="2" s="1"/>
  <c r="D57" i="2"/>
  <c r="Q57" i="2" s="1"/>
  <c r="R57" i="2" s="1"/>
  <c r="D49" i="2"/>
  <c r="Q49" i="2" s="1"/>
  <c r="R49" i="2" s="1"/>
  <c r="D41" i="2"/>
  <c r="Q41" i="2" s="1"/>
  <c r="R41" i="2" s="1"/>
  <c r="D33" i="2"/>
  <c r="Q33" i="2" s="1"/>
  <c r="R33" i="2" s="1"/>
  <c r="J46" i="2"/>
  <c r="F142" i="2"/>
  <c r="I142" i="2" s="1"/>
  <c r="F134" i="2"/>
  <c r="I134" i="2" s="1"/>
  <c r="F126" i="2"/>
  <c r="I126" i="2" s="1"/>
  <c r="F118" i="2"/>
  <c r="I118" i="2" s="1"/>
  <c r="F110" i="2"/>
  <c r="I110" i="2" s="1"/>
  <c r="F102" i="2"/>
  <c r="I102" i="2" s="1"/>
  <c r="F88" i="2"/>
  <c r="F80" i="2"/>
  <c r="F72" i="2"/>
  <c r="F64" i="2"/>
  <c r="F56" i="2"/>
  <c r="F48" i="2"/>
  <c r="F40" i="2"/>
  <c r="F32" i="2"/>
  <c r="D144" i="2"/>
  <c r="Q144" i="2" s="1"/>
  <c r="R144" i="2" s="1"/>
  <c r="D136" i="2"/>
  <c r="Q136" i="2" s="1"/>
  <c r="R136" i="2" s="1"/>
  <c r="D128" i="2"/>
  <c r="Q128" i="2" s="1"/>
  <c r="R128" i="2" s="1"/>
  <c r="D120" i="2"/>
  <c r="Q120" i="2" s="1"/>
  <c r="R120" i="2" s="1"/>
  <c r="D112" i="2"/>
  <c r="Q112" i="2" s="1"/>
  <c r="R112" i="2" s="1"/>
  <c r="D104" i="2"/>
  <c r="Q104" i="2" s="1"/>
  <c r="R104" i="2" s="1"/>
  <c r="D96" i="2"/>
  <c r="Q96" i="2" s="1"/>
  <c r="R96" i="2" s="1"/>
  <c r="D88" i="2"/>
  <c r="Q88" i="2" s="1"/>
  <c r="R88" i="2" s="1"/>
  <c r="D80" i="2"/>
  <c r="Q80" i="2" s="1"/>
  <c r="R80" i="2" s="1"/>
  <c r="D72" i="2"/>
  <c r="Q72" i="2" s="1"/>
  <c r="R72" i="2" s="1"/>
  <c r="D64" i="2"/>
  <c r="Q64" i="2" s="1"/>
  <c r="R64" i="2" s="1"/>
  <c r="D56" i="2"/>
  <c r="Q56" i="2" s="1"/>
  <c r="R56" i="2" s="1"/>
  <c r="D48" i="2"/>
  <c r="Q48" i="2" s="1"/>
  <c r="R48" i="2" s="1"/>
  <c r="D40" i="2"/>
  <c r="Q40" i="2" s="1"/>
  <c r="R40" i="2" s="1"/>
  <c r="D32" i="2"/>
  <c r="Q32" i="2" s="1"/>
  <c r="R32" i="2" s="1"/>
  <c r="J69" i="2"/>
  <c r="F141" i="2"/>
  <c r="I141" i="2" s="1"/>
  <c r="F133" i="2"/>
  <c r="I133" i="2" s="1"/>
  <c r="F125" i="2"/>
  <c r="I125" i="2" s="1"/>
  <c r="F117" i="2"/>
  <c r="I117" i="2" s="1"/>
  <c r="F109" i="2"/>
  <c r="I109" i="2" s="1"/>
  <c r="F101" i="2"/>
  <c r="I101" i="2" s="1"/>
  <c r="F87" i="2"/>
  <c r="F79" i="2"/>
  <c r="F71" i="2"/>
  <c r="F63" i="2"/>
  <c r="F55" i="2"/>
  <c r="F47" i="2"/>
  <c r="F39" i="2"/>
  <c r="F31" i="2"/>
  <c r="D143" i="2"/>
  <c r="Q143" i="2" s="1"/>
  <c r="R143" i="2" s="1"/>
  <c r="D135" i="2"/>
  <c r="Q135" i="2" s="1"/>
  <c r="R135" i="2" s="1"/>
  <c r="D127" i="2"/>
  <c r="Q127" i="2" s="1"/>
  <c r="R127" i="2" s="1"/>
  <c r="D119" i="2"/>
  <c r="Q119" i="2" s="1"/>
  <c r="R119" i="2" s="1"/>
  <c r="D111" i="2"/>
  <c r="Q111" i="2" s="1"/>
  <c r="R111" i="2" s="1"/>
  <c r="D103" i="2"/>
  <c r="Q103" i="2" s="1"/>
  <c r="R103" i="2" s="1"/>
  <c r="D95" i="2"/>
  <c r="Q95" i="2" s="1"/>
  <c r="R95" i="2" s="1"/>
  <c r="D87" i="2"/>
  <c r="Q87" i="2" s="1"/>
  <c r="R87" i="2" s="1"/>
  <c r="D79" i="2"/>
  <c r="Q79" i="2" s="1"/>
  <c r="R79" i="2" s="1"/>
  <c r="D71" i="2"/>
  <c r="Q71" i="2" s="1"/>
  <c r="R71" i="2" s="1"/>
  <c r="D63" i="2"/>
  <c r="Q63" i="2" s="1"/>
  <c r="R63" i="2" s="1"/>
  <c r="D55" i="2"/>
  <c r="Q55" i="2" s="1"/>
  <c r="R55" i="2" s="1"/>
  <c r="D47" i="2"/>
  <c r="Q47" i="2" s="1"/>
  <c r="R47" i="2" s="1"/>
  <c r="D39" i="2"/>
  <c r="Q39" i="2" s="1"/>
  <c r="R39" i="2" s="1"/>
  <c r="D31" i="2"/>
  <c r="Q31" i="2" s="1"/>
  <c r="R31" i="2" s="1"/>
  <c r="F139" i="2"/>
  <c r="I139" i="2" s="1"/>
  <c r="F131" i="2"/>
  <c r="I131" i="2" s="1"/>
  <c r="F123" i="2"/>
  <c r="I123" i="2" s="1"/>
  <c r="F115" i="2"/>
  <c r="I115" i="2" s="1"/>
  <c r="F107" i="2"/>
  <c r="I107" i="2" s="1"/>
  <c r="F99" i="2"/>
  <c r="I99" i="2" s="1"/>
  <c r="F85" i="2"/>
  <c r="F77" i="2"/>
  <c r="F69" i="2"/>
  <c r="F61" i="2"/>
  <c r="F53" i="2"/>
  <c r="F45" i="2"/>
  <c r="F37" i="2"/>
  <c r="F29" i="2"/>
  <c r="D141" i="2"/>
  <c r="Q141" i="2" s="1"/>
  <c r="R141" i="2" s="1"/>
  <c r="D133" i="2"/>
  <c r="Q133" i="2" s="1"/>
  <c r="R133" i="2" s="1"/>
  <c r="D125" i="2"/>
  <c r="Q125" i="2" s="1"/>
  <c r="R125" i="2" s="1"/>
  <c r="D117" i="2"/>
  <c r="Q117" i="2" s="1"/>
  <c r="R117" i="2" s="1"/>
  <c r="D109" i="2"/>
  <c r="Q109" i="2" s="1"/>
  <c r="R109" i="2" s="1"/>
  <c r="D101" i="2"/>
  <c r="Q101" i="2" s="1"/>
  <c r="R101" i="2" s="1"/>
  <c r="D93" i="2"/>
  <c r="Q93" i="2" s="1"/>
  <c r="R93" i="2" s="1"/>
  <c r="D85" i="2"/>
  <c r="Q85" i="2" s="1"/>
  <c r="R85" i="2" s="1"/>
  <c r="D77" i="2"/>
  <c r="Q77" i="2" s="1"/>
  <c r="R77" i="2" s="1"/>
  <c r="D69" i="2"/>
  <c r="Q69" i="2" s="1"/>
  <c r="R69" i="2" s="1"/>
  <c r="D61" i="2"/>
  <c r="Q61" i="2" s="1"/>
  <c r="R61" i="2" s="1"/>
  <c r="D53" i="2"/>
  <c r="Q53" i="2" s="1"/>
  <c r="R53" i="2" s="1"/>
  <c r="D45" i="2"/>
  <c r="Q45" i="2" s="1"/>
  <c r="R45" i="2" s="1"/>
  <c r="D37" i="2"/>
  <c r="Q37" i="2" s="1"/>
  <c r="R37" i="2" s="1"/>
  <c r="D29" i="2"/>
  <c r="Q29" i="2" s="1"/>
  <c r="R29" i="2" s="1"/>
  <c r="J74" i="2"/>
  <c r="F146" i="2"/>
  <c r="I146" i="2" s="1"/>
  <c r="F138" i="2"/>
  <c r="I138" i="2" s="1"/>
  <c r="F130" i="2"/>
  <c r="I130" i="2" s="1"/>
  <c r="F122" i="2"/>
  <c r="I122" i="2" s="1"/>
  <c r="F114" i="2"/>
  <c r="I114" i="2" s="1"/>
  <c r="F106" i="2"/>
  <c r="I106" i="2" s="1"/>
  <c r="F98" i="2"/>
  <c r="I98" i="2" s="1"/>
  <c r="F84" i="2"/>
  <c r="F76" i="2"/>
  <c r="F68" i="2"/>
  <c r="F60" i="2"/>
  <c r="F52" i="2"/>
  <c r="F44" i="2"/>
  <c r="F36" i="2"/>
  <c r="F28" i="2"/>
  <c r="D140" i="2"/>
  <c r="Q140" i="2" s="1"/>
  <c r="R140" i="2" s="1"/>
  <c r="D132" i="2"/>
  <c r="Q132" i="2" s="1"/>
  <c r="R132" i="2" s="1"/>
  <c r="D124" i="2"/>
  <c r="Q124" i="2" s="1"/>
  <c r="R124" i="2" s="1"/>
  <c r="D116" i="2"/>
  <c r="Q116" i="2" s="1"/>
  <c r="R116" i="2" s="1"/>
  <c r="D108" i="2"/>
  <c r="Q108" i="2" s="1"/>
  <c r="R108" i="2" s="1"/>
  <c r="D100" i="2"/>
  <c r="Q100" i="2" s="1"/>
  <c r="R100" i="2" s="1"/>
  <c r="D92" i="2"/>
  <c r="Q92" i="2" s="1"/>
  <c r="R92" i="2" s="1"/>
  <c r="D84" i="2"/>
  <c r="Q84" i="2" s="1"/>
  <c r="R84" i="2" s="1"/>
  <c r="D76" i="2"/>
  <c r="Q76" i="2" s="1"/>
  <c r="R76" i="2" s="1"/>
  <c r="D68" i="2"/>
  <c r="Q68" i="2" s="1"/>
  <c r="R68" i="2" s="1"/>
  <c r="D60" i="2"/>
  <c r="Q60" i="2" s="1"/>
  <c r="R60" i="2" s="1"/>
  <c r="D52" i="2"/>
  <c r="Q52" i="2" s="1"/>
  <c r="R52" i="2" s="1"/>
  <c r="D44" i="2"/>
  <c r="Q44" i="2" s="1"/>
  <c r="R44" i="2" s="1"/>
  <c r="D36" i="2"/>
  <c r="Q36" i="2" s="1"/>
  <c r="R36" i="2" s="1"/>
  <c r="D28" i="2"/>
  <c r="Q28" i="2" s="1"/>
  <c r="R28" i="2" s="1"/>
  <c r="F108" i="2"/>
  <c r="I108" i="2" s="1"/>
  <c r="F38" i="2"/>
  <c r="D94" i="2"/>
  <c r="Q94" i="2" s="1"/>
  <c r="R94" i="2" s="1"/>
  <c r="D30" i="2"/>
  <c r="Q30" i="2" s="1"/>
  <c r="R30" i="2" s="1"/>
  <c r="F100" i="2"/>
  <c r="I100" i="2" s="1"/>
  <c r="F30" i="2"/>
  <c r="D86" i="2"/>
  <c r="Q86" i="2" s="1"/>
  <c r="R86" i="2" s="1"/>
  <c r="F86" i="2"/>
  <c r="D142" i="2"/>
  <c r="Q142" i="2" s="1"/>
  <c r="R142" i="2" s="1"/>
  <c r="D78" i="2"/>
  <c r="Q78" i="2" s="1"/>
  <c r="R78" i="2" s="1"/>
  <c r="F78" i="2"/>
  <c r="D134" i="2"/>
  <c r="Q134" i="2" s="1"/>
  <c r="R134" i="2" s="1"/>
  <c r="D70" i="2"/>
  <c r="Q70" i="2" s="1"/>
  <c r="R70" i="2" s="1"/>
  <c r="F140" i="2"/>
  <c r="I140" i="2" s="1"/>
  <c r="F70" i="2"/>
  <c r="D126" i="2"/>
  <c r="Q126" i="2" s="1"/>
  <c r="R126" i="2" s="1"/>
  <c r="D62" i="2"/>
  <c r="Q62" i="2" s="1"/>
  <c r="R62" i="2" s="1"/>
  <c r="C58" i="2"/>
  <c r="M35" i="5" s="1"/>
  <c r="C66" i="2"/>
  <c r="M43" i="5" s="1"/>
  <c r="C74" i="2"/>
  <c r="M51" i="5" s="1"/>
  <c r="C82" i="2"/>
  <c r="M59" i="5" s="1"/>
  <c r="U59" i="5" s="1"/>
  <c r="C90" i="2"/>
  <c r="M67" i="5" s="1"/>
  <c r="U67" i="5" s="1"/>
  <c r="C98" i="2"/>
  <c r="M75" i="5" s="1"/>
  <c r="U75" i="5" s="1"/>
  <c r="C106" i="2"/>
  <c r="M83" i="5" s="1"/>
  <c r="U83" i="5" s="1"/>
  <c r="C114" i="2"/>
  <c r="M91" i="5" s="1"/>
  <c r="U91" i="5" s="1"/>
  <c r="C122" i="2"/>
  <c r="M99" i="5" s="1"/>
  <c r="U99" i="5" s="1"/>
  <c r="C130" i="2"/>
  <c r="M107" i="5" s="1"/>
  <c r="U107" i="5" s="1"/>
  <c r="C138" i="2"/>
  <c r="M115" i="5" s="1"/>
  <c r="U115" i="5" s="1"/>
  <c r="C33" i="2"/>
  <c r="M10" i="5" s="1"/>
  <c r="C41" i="2"/>
  <c r="M18" i="5" s="1"/>
  <c r="C49" i="2"/>
  <c r="M26" i="5" s="1"/>
  <c r="C31" i="2"/>
  <c r="M8" i="5" s="1"/>
  <c r="C59" i="2"/>
  <c r="M36" i="5" s="1"/>
  <c r="C67" i="2"/>
  <c r="M44" i="5" s="1"/>
  <c r="C75" i="2"/>
  <c r="M52" i="5" s="1"/>
  <c r="U52" i="5" s="1"/>
  <c r="C83" i="2"/>
  <c r="M60" i="5" s="1"/>
  <c r="U60" i="5" s="1"/>
  <c r="C91" i="2"/>
  <c r="M68" i="5" s="1"/>
  <c r="U68" i="5" s="1"/>
  <c r="C99" i="2"/>
  <c r="M76" i="5" s="1"/>
  <c r="U76" i="5" s="1"/>
  <c r="C107" i="2"/>
  <c r="M84" i="5" s="1"/>
  <c r="U84" i="5" s="1"/>
  <c r="C115" i="2"/>
  <c r="M92" i="5" s="1"/>
  <c r="U92" i="5" s="1"/>
  <c r="C123" i="2"/>
  <c r="M100" i="5" s="1"/>
  <c r="U100" i="5" s="1"/>
  <c r="C131" i="2"/>
  <c r="M108" i="5" s="1"/>
  <c r="U108" i="5" s="1"/>
  <c r="C139" i="2"/>
  <c r="M116" i="5" s="1"/>
  <c r="U116" i="5" s="1"/>
  <c r="C34" i="2"/>
  <c r="M11" i="5" s="1"/>
  <c r="C42" i="2"/>
  <c r="M19" i="5" s="1"/>
  <c r="C50" i="2"/>
  <c r="M27" i="5" s="1"/>
  <c r="C30" i="2"/>
  <c r="M7" i="5" s="1"/>
  <c r="F132" i="2"/>
  <c r="I132" i="2" s="1"/>
  <c r="F62" i="2"/>
  <c r="D118" i="2"/>
  <c r="Q118" i="2" s="1"/>
  <c r="R118" i="2" s="1"/>
  <c r="D54" i="2"/>
  <c r="Q54" i="2" s="1"/>
  <c r="R54" i="2" s="1"/>
  <c r="C52" i="2"/>
  <c r="M29" i="5" s="1"/>
  <c r="C40" i="2"/>
  <c r="M17" i="5" s="1"/>
  <c r="C143" i="2"/>
  <c r="M120" i="5" s="1"/>
  <c r="U120" i="5" s="1"/>
  <c r="C133" i="2"/>
  <c r="M110" i="5" s="1"/>
  <c r="U110" i="5" s="1"/>
  <c r="C121" i="2"/>
  <c r="M98" i="5" s="1"/>
  <c r="U98" i="5" s="1"/>
  <c r="C111" i="2"/>
  <c r="M88" i="5" s="1"/>
  <c r="U88" i="5" s="1"/>
  <c r="C101" i="2"/>
  <c r="M78" i="5" s="1"/>
  <c r="U78" i="5" s="1"/>
  <c r="C89" i="2"/>
  <c r="M66" i="5" s="1"/>
  <c r="U66" i="5" s="1"/>
  <c r="C79" i="2"/>
  <c r="M56" i="5" s="1"/>
  <c r="U56" i="5" s="1"/>
  <c r="C69" i="2"/>
  <c r="M46" i="5" s="1"/>
  <c r="C57" i="2"/>
  <c r="F95" i="2"/>
  <c r="L479" i="35"/>
  <c r="M479" i="35" s="1"/>
  <c r="L471" i="35"/>
  <c r="M471" i="35" s="1"/>
  <c r="L463" i="35"/>
  <c r="M463" i="35" s="1"/>
  <c r="L455" i="35"/>
  <c r="M455" i="35" s="1"/>
  <c r="L447" i="35"/>
  <c r="M447" i="35" s="1"/>
  <c r="L439" i="35"/>
  <c r="M439" i="35" s="1"/>
  <c r="L431" i="35"/>
  <c r="M431" i="35" s="1"/>
  <c r="L423" i="35"/>
  <c r="M423" i="35" s="1"/>
  <c r="L415" i="35"/>
  <c r="M415" i="35" s="1"/>
  <c r="L407" i="35"/>
  <c r="M407" i="35" s="1"/>
  <c r="L399" i="35"/>
  <c r="M399" i="35" s="1"/>
  <c r="L391" i="35"/>
  <c r="M391" i="35" s="1"/>
  <c r="L383" i="35"/>
  <c r="M383" i="35" s="1"/>
  <c r="L375" i="35"/>
  <c r="M375" i="35" s="1"/>
  <c r="L367" i="35"/>
  <c r="M367" i="35" s="1"/>
  <c r="L359" i="35"/>
  <c r="M359" i="35" s="1"/>
  <c r="L351" i="35"/>
  <c r="M351" i="35" s="1"/>
  <c r="L343" i="35"/>
  <c r="M343" i="35" s="1"/>
  <c r="L335" i="35"/>
  <c r="M335" i="35" s="1"/>
  <c r="L327" i="35"/>
  <c r="M327" i="35" s="1"/>
  <c r="L319" i="35"/>
  <c r="M319" i="35" s="1"/>
  <c r="L311" i="35"/>
  <c r="M311" i="35" s="1"/>
  <c r="L303" i="35"/>
  <c r="M303" i="35" s="1"/>
  <c r="L295" i="35"/>
  <c r="M295" i="35" s="1"/>
  <c r="L287" i="35"/>
  <c r="M287" i="35" s="1"/>
  <c r="L279" i="35"/>
  <c r="M279" i="35" s="1"/>
  <c r="L271" i="35"/>
  <c r="M271" i="35" s="1"/>
  <c r="L263" i="35"/>
  <c r="M263" i="35" s="1"/>
  <c r="L255" i="35"/>
  <c r="M255" i="35" s="1"/>
  <c r="L247" i="35"/>
  <c r="M247" i="35" s="1"/>
  <c r="L239" i="35"/>
  <c r="M239" i="35" s="1"/>
  <c r="L231" i="35"/>
  <c r="M231" i="35" s="1"/>
  <c r="L223" i="35"/>
  <c r="M223" i="35" s="1"/>
  <c r="L215" i="35"/>
  <c r="M215" i="35" s="1"/>
  <c r="L207" i="35"/>
  <c r="M207" i="35" s="1"/>
  <c r="L199" i="35"/>
  <c r="M199" i="35" s="1"/>
  <c r="L191" i="35"/>
  <c r="M191" i="35" s="1"/>
  <c r="L183" i="35"/>
  <c r="M183" i="35" s="1"/>
  <c r="L175" i="35"/>
  <c r="M175" i="35" s="1"/>
  <c r="L167" i="35"/>
  <c r="M167" i="35" s="1"/>
  <c r="L159" i="35"/>
  <c r="M159" i="35" s="1"/>
  <c r="L151" i="35"/>
  <c r="M151" i="35" s="1"/>
  <c r="L143" i="35"/>
  <c r="M143" i="35" s="1"/>
  <c r="L135" i="35"/>
  <c r="M135" i="35" s="1"/>
  <c r="F54" i="2"/>
  <c r="C51" i="2"/>
  <c r="M28" i="5" s="1"/>
  <c r="C39" i="2"/>
  <c r="M16" i="5" s="1"/>
  <c r="C142" i="2"/>
  <c r="M119" i="5" s="1"/>
  <c r="U119" i="5" s="1"/>
  <c r="C132" i="2"/>
  <c r="M109" i="5" s="1"/>
  <c r="U109" i="5" s="1"/>
  <c r="C110" i="2"/>
  <c r="M87" i="5" s="1"/>
  <c r="U87" i="5" s="1"/>
  <c r="C88" i="2"/>
  <c r="M65" i="5" s="1"/>
  <c r="U65" i="5" s="1"/>
  <c r="C78" i="2"/>
  <c r="M55" i="5" s="1"/>
  <c r="U55" i="5" s="1"/>
  <c r="C68" i="2"/>
  <c r="M45" i="5" s="1"/>
  <c r="C56" i="2"/>
  <c r="M33" i="5" s="1"/>
  <c r="F94" i="2"/>
  <c r="L462" i="35"/>
  <c r="M462" i="35" s="1"/>
  <c r="L454" i="35"/>
  <c r="M454" i="35" s="1"/>
  <c r="L446" i="35"/>
  <c r="M446" i="35" s="1"/>
  <c r="L438" i="35"/>
  <c r="M438" i="35" s="1"/>
  <c r="L430" i="35"/>
  <c r="M430" i="35" s="1"/>
  <c r="L422" i="35"/>
  <c r="M422" i="35" s="1"/>
  <c r="L414" i="35"/>
  <c r="M414" i="35" s="1"/>
  <c r="L406" i="35"/>
  <c r="M406" i="35" s="1"/>
  <c r="L398" i="35"/>
  <c r="M398" i="35" s="1"/>
  <c r="L390" i="35"/>
  <c r="M390" i="35" s="1"/>
  <c r="L382" i="35"/>
  <c r="M382" i="35" s="1"/>
  <c r="L374" i="35"/>
  <c r="M374" i="35" s="1"/>
  <c r="L366" i="35"/>
  <c r="M366" i="35" s="1"/>
  <c r="L358" i="35"/>
  <c r="M358" i="35" s="1"/>
  <c r="L350" i="35"/>
  <c r="M350" i="35" s="1"/>
  <c r="L342" i="35"/>
  <c r="M342" i="35" s="1"/>
  <c r="L334" i="35"/>
  <c r="M334" i="35" s="1"/>
  <c r="L326" i="35"/>
  <c r="M326" i="35" s="1"/>
  <c r="L318" i="35"/>
  <c r="M318" i="35" s="1"/>
  <c r="L310" i="35"/>
  <c r="M310" i="35" s="1"/>
  <c r="L302" i="35"/>
  <c r="M302" i="35" s="1"/>
  <c r="L294" i="35"/>
  <c r="M294" i="35" s="1"/>
  <c r="L286" i="35"/>
  <c r="M286" i="35" s="1"/>
  <c r="L278" i="35"/>
  <c r="M278" i="35" s="1"/>
  <c r="L270" i="35"/>
  <c r="M270" i="35" s="1"/>
  <c r="L262" i="35"/>
  <c r="M262" i="35" s="1"/>
  <c r="L254" i="35"/>
  <c r="M254" i="35" s="1"/>
  <c r="L246" i="35"/>
  <c r="M246" i="35" s="1"/>
  <c r="L222" i="35"/>
  <c r="M222" i="35" s="1"/>
  <c r="F116" i="2"/>
  <c r="I116" i="2" s="1"/>
  <c r="C48" i="2"/>
  <c r="M25" i="5" s="1"/>
  <c r="C38" i="2"/>
  <c r="M15" i="5" s="1"/>
  <c r="C141" i="2"/>
  <c r="M118" i="5" s="1"/>
  <c r="U118" i="5" s="1"/>
  <c r="C129" i="2"/>
  <c r="M106" i="5" s="1"/>
  <c r="U106" i="5" s="1"/>
  <c r="C119" i="2"/>
  <c r="M96" i="5" s="1"/>
  <c r="U96" i="5" s="1"/>
  <c r="C109" i="2"/>
  <c r="M86" i="5" s="1"/>
  <c r="U86" i="5" s="1"/>
  <c r="C97" i="2"/>
  <c r="M74" i="5" s="1"/>
  <c r="U74" i="5" s="1"/>
  <c r="C87" i="2"/>
  <c r="M64" i="5" s="1"/>
  <c r="U64" i="5" s="1"/>
  <c r="C77" i="2"/>
  <c r="M54" i="5" s="1"/>
  <c r="U54" i="5" s="1"/>
  <c r="C65" i="2"/>
  <c r="M42" i="5" s="1"/>
  <c r="C146" i="2"/>
  <c r="M123" i="5" s="1"/>
  <c r="U123" i="5" s="1"/>
  <c r="F93" i="2"/>
  <c r="G27" i="2"/>
  <c r="L477" i="35"/>
  <c r="M477" i="35" s="1"/>
  <c r="L469" i="35"/>
  <c r="M469" i="35" s="1"/>
  <c r="L461" i="35"/>
  <c r="M461" i="35" s="1"/>
  <c r="L453" i="35"/>
  <c r="M453" i="35" s="1"/>
  <c r="L445" i="35"/>
  <c r="M445" i="35" s="1"/>
  <c r="L437" i="35"/>
  <c r="M437" i="35" s="1"/>
  <c r="L429" i="35"/>
  <c r="M429" i="35" s="1"/>
  <c r="L421" i="35"/>
  <c r="M421" i="35" s="1"/>
  <c r="L413" i="35"/>
  <c r="M413" i="35" s="1"/>
  <c r="L405" i="35"/>
  <c r="M405" i="35" s="1"/>
  <c r="L397" i="35"/>
  <c r="M397" i="35" s="1"/>
  <c r="L389" i="35"/>
  <c r="M389" i="35" s="1"/>
  <c r="L381" i="35"/>
  <c r="M381" i="35" s="1"/>
  <c r="L373" i="35"/>
  <c r="M373" i="35" s="1"/>
  <c r="L365" i="35"/>
  <c r="M365" i="35" s="1"/>
  <c r="L357" i="35"/>
  <c r="M357" i="35" s="1"/>
  <c r="L349" i="35"/>
  <c r="M349" i="35" s="1"/>
  <c r="L341" i="35"/>
  <c r="M341" i="35" s="1"/>
  <c r="L333" i="35"/>
  <c r="M333" i="35" s="1"/>
  <c r="L325" i="35"/>
  <c r="M325" i="35" s="1"/>
  <c r="L317" i="35"/>
  <c r="M317" i="35" s="1"/>
  <c r="L309" i="35"/>
  <c r="M309" i="35" s="1"/>
  <c r="L301" i="35"/>
  <c r="M301" i="35" s="1"/>
  <c r="L293" i="35"/>
  <c r="M293" i="35" s="1"/>
  <c r="L285" i="35"/>
  <c r="M285" i="35" s="1"/>
  <c r="L277" i="35"/>
  <c r="M277" i="35" s="1"/>
  <c r="L269" i="35"/>
  <c r="M269" i="35" s="1"/>
  <c r="L261" i="35"/>
  <c r="M261" i="35" s="1"/>
  <c r="L253" i="35"/>
  <c r="M253" i="35" s="1"/>
  <c r="L245" i="35"/>
  <c r="M245" i="35" s="1"/>
  <c r="F124" i="2"/>
  <c r="I124" i="2" s="1"/>
  <c r="C47" i="2"/>
  <c r="M24" i="5" s="1"/>
  <c r="C37" i="2"/>
  <c r="M14" i="5" s="1"/>
  <c r="C140" i="2"/>
  <c r="M117" i="5" s="1"/>
  <c r="U117" i="5" s="1"/>
  <c r="C128" i="2"/>
  <c r="M105" i="5" s="1"/>
  <c r="U105" i="5" s="1"/>
  <c r="C118" i="2"/>
  <c r="M95" i="5" s="1"/>
  <c r="U95" i="5" s="1"/>
  <c r="C108" i="2"/>
  <c r="M85" i="5" s="1"/>
  <c r="U85" i="5" s="1"/>
  <c r="C96" i="2"/>
  <c r="M73" i="5" s="1"/>
  <c r="U73" i="5" s="1"/>
  <c r="C86" i="2"/>
  <c r="M63" i="5" s="1"/>
  <c r="U63" i="5" s="1"/>
  <c r="C76" i="2"/>
  <c r="M53" i="5" s="1"/>
  <c r="U53" i="5" s="1"/>
  <c r="C64" i="2"/>
  <c r="M41" i="5" s="1"/>
  <c r="F92" i="2"/>
  <c r="L476" i="35"/>
  <c r="M476" i="35" s="1"/>
  <c r="L468" i="35"/>
  <c r="M468" i="35" s="1"/>
  <c r="L460" i="35"/>
  <c r="M460" i="35" s="1"/>
  <c r="L452" i="35"/>
  <c r="M452" i="35" s="1"/>
  <c r="L444" i="35"/>
  <c r="M444" i="35" s="1"/>
  <c r="L436" i="35"/>
  <c r="M436" i="35" s="1"/>
  <c r="L428" i="35"/>
  <c r="M428" i="35" s="1"/>
  <c r="L420" i="35"/>
  <c r="M420" i="35" s="1"/>
  <c r="L412" i="35"/>
  <c r="M412" i="35" s="1"/>
  <c r="L404" i="35"/>
  <c r="M404" i="35" s="1"/>
  <c r="L396" i="35"/>
  <c r="M396" i="35" s="1"/>
  <c r="L388" i="35"/>
  <c r="M388" i="35" s="1"/>
  <c r="L380" i="35"/>
  <c r="M380" i="35" s="1"/>
  <c r="L372" i="35"/>
  <c r="M372" i="35" s="1"/>
  <c r="L364" i="35"/>
  <c r="M364" i="35" s="1"/>
  <c r="L356" i="35"/>
  <c r="M356" i="35" s="1"/>
  <c r="L348" i="35"/>
  <c r="M348" i="35" s="1"/>
  <c r="L340" i="35"/>
  <c r="M340" i="35" s="1"/>
  <c r="L332" i="35"/>
  <c r="M332" i="35" s="1"/>
  <c r="L324" i="35"/>
  <c r="M324" i="35" s="1"/>
  <c r="L316" i="35"/>
  <c r="M316" i="35" s="1"/>
  <c r="L308" i="35"/>
  <c r="M308" i="35" s="1"/>
  <c r="L300" i="35"/>
  <c r="M300" i="35" s="1"/>
  <c r="L292" i="35"/>
  <c r="M292" i="35" s="1"/>
  <c r="L284" i="35"/>
  <c r="M284" i="35" s="1"/>
  <c r="L276" i="35"/>
  <c r="M276" i="35" s="1"/>
  <c r="L268" i="35"/>
  <c r="M268" i="35" s="1"/>
  <c r="L260" i="35"/>
  <c r="M260" i="35" s="1"/>
  <c r="L252" i="35"/>
  <c r="M252" i="35" s="1"/>
  <c r="L244" i="35"/>
  <c r="D38" i="2"/>
  <c r="Q38" i="2" s="1"/>
  <c r="R38" i="2" s="1"/>
  <c r="C32" i="2"/>
  <c r="M9" i="5" s="1"/>
  <c r="C46" i="2"/>
  <c r="M23" i="5" s="1"/>
  <c r="C36" i="2"/>
  <c r="M13" i="5" s="1"/>
  <c r="C137" i="2"/>
  <c r="M114" i="5" s="1"/>
  <c r="U114" i="5" s="1"/>
  <c r="C127" i="2"/>
  <c r="M104" i="5" s="1"/>
  <c r="U104" i="5" s="1"/>
  <c r="C117" i="2"/>
  <c r="M94" i="5" s="1"/>
  <c r="U94" i="5" s="1"/>
  <c r="C105" i="2"/>
  <c r="M82" i="5" s="1"/>
  <c r="U82" i="5" s="1"/>
  <c r="C95" i="2"/>
  <c r="M72" i="5" s="1"/>
  <c r="U72" i="5" s="1"/>
  <c r="C85" i="2"/>
  <c r="M62" i="5" s="1"/>
  <c r="U62" i="5" s="1"/>
  <c r="C73" i="2"/>
  <c r="M50" i="5" s="1"/>
  <c r="L483" i="35"/>
  <c r="M483" i="35" s="1"/>
  <c r="L475" i="35"/>
  <c r="M475" i="35" s="1"/>
  <c r="L467" i="35"/>
  <c r="M467" i="35" s="1"/>
  <c r="L459" i="35"/>
  <c r="M459" i="35" s="1"/>
  <c r="L451" i="35"/>
  <c r="M451" i="35" s="1"/>
  <c r="L443" i="35"/>
  <c r="M443" i="35" s="1"/>
  <c r="L435" i="35"/>
  <c r="M435" i="35" s="1"/>
  <c r="L427" i="35"/>
  <c r="M427" i="35" s="1"/>
  <c r="L419" i="35"/>
  <c r="M419" i="35" s="1"/>
  <c r="L411" i="35"/>
  <c r="M411" i="35" s="1"/>
  <c r="L403" i="35"/>
  <c r="M403" i="35" s="1"/>
  <c r="L395" i="35"/>
  <c r="M395" i="35" s="1"/>
  <c r="L387" i="35"/>
  <c r="M387" i="35" s="1"/>
  <c r="L379" i="35"/>
  <c r="M379" i="35" s="1"/>
  <c r="L371" i="35"/>
  <c r="M371" i="35" s="1"/>
  <c r="L363" i="35"/>
  <c r="M363" i="35" s="1"/>
  <c r="L355" i="35"/>
  <c r="M355" i="35" s="1"/>
  <c r="L347" i="35"/>
  <c r="M347" i="35" s="1"/>
  <c r="L339" i="35"/>
  <c r="M339" i="35" s="1"/>
  <c r="L331" i="35"/>
  <c r="M331" i="35" s="1"/>
  <c r="L323" i="35"/>
  <c r="M323" i="35" s="1"/>
  <c r="L315" i="35"/>
  <c r="M315" i="35" s="1"/>
  <c r="L307" i="35"/>
  <c r="M307" i="35" s="1"/>
  <c r="L299" i="35"/>
  <c r="M299" i="35" s="1"/>
  <c r="L291" i="35"/>
  <c r="M291" i="35" s="1"/>
  <c r="L283" i="35"/>
  <c r="M283" i="35" s="1"/>
  <c r="L275" i="35"/>
  <c r="M275" i="35" s="1"/>
  <c r="L267" i="35"/>
  <c r="M267" i="35" s="1"/>
  <c r="L259" i="35"/>
  <c r="M259" i="35" s="1"/>
  <c r="L251" i="35"/>
  <c r="M251" i="35" s="1"/>
  <c r="D46" i="2"/>
  <c r="Q46" i="2" s="1"/>
  <c r="R46" i="2" s="1"/>
  <c r="L129" i="35"/>
  <c r="M129" i="35" s="1"/>
  <c r="F96" i="2"/>
  <c r="L480" i="35"/>
  <c r="M480" i="35" s="1"/>
  <c r="L472" i="35"/>
  <c r="M472" i="35" s="1"/>
  <c r="L464" i="35"/>
  <c r="M464" i="35" s="1"/>
  <c r="L456" i="35"/>
  <c r="M456" i="35" s="1"/>
  <c r="L448" i="35"/>
  <c r="M448" i="35" s="1"/>
  <c r="L440" i="35"/>
  <c r="M440" i="35" s="1"/>
  <c r="L432" i="35"/>
  <c r="M432" i="35" s="1"/>
  <c r="L424" i="35"/>
  <c r="M424" i="35" s="1"/>
  <c r="L416" i="35"/>
  <c r="M416" i="35" s="1"/>
  <c r="L408" i="35"/>
  <c r="M408" i="35" s="1"/>
  <c r="L400" i="35"/>
  <c r="M400" i="35" s="1"/>
  <c r="L392" i="35"/>
  <c r="M392" i="35" s="1"/>
  <c r="L384" i="35"/>
  <c r="M384" i="35" s="1"/>
  <c r="L376" i="35"/>
  <c r="M376" i="35" s="1"/>
  <c r="L368" i="35"/>
  <c r="M368" i="35" s="1"/>
  <c r="L360" i="35"/>
  <c r="M360" i="35" s="1"/>
  <c r="L352" i="35"/>
  <c r="M352" i="35" s="1"/>
  <c r="L344" i="35"/>
  <c r="M344" i="35" s="1"/>
  <c r="L336" i="35"/>
  <c r="M336" i="35" s="1"/>
  <c r="L328" i="35"/>
  <c r="M328" i="35" s="1"/>
  <c r="L320" i="35"/>
  <c r="M320" i="35" s="1"/>
  <c r="L312" i="35"/>
  <c r="M312" i="35" s="1"/>
  <c r="L304" i="35"/>
  <c r="M304" i="35" s="1"/>
  <c r="L296" i="35"/>
  <c r="M296" i="35" s="1"/>
  <c r="L288" i="35"/>
  <c r="M288" i="35" s="1"/>
  <c r="L280" i="35"/>
  <c r="M280" i="35" s="1"/>
  <c r="L272" i="35"/>
  <c r="M272" i="35" s="1"/>
  <c r="L264" i="35"/>
  <c r="M264" i="35" s="1"/>
  <c r="L256" i="35"/>
  <c r="M256" i="35" s="1"/>
  <c r="L248" i="35"/>
  <c r="M248" i="35" s="1"/>
  <c r="L127" i="35"/>
  <c r="M127" i="35" s="1"/>
  <c r="G108" i="2"/>
  <c r="L124" i="35"/>
  <c r="F91" i="2"/>
  <c r="R23" i="2"/>
  <c r="L8" i="35"/>
  <c r="G72" i="2"/>
  <c r="L4" i="35"/>
  <c r="H23" i="2"/>
  <c r="G52" i="2" l="1"/>
  <c r="G97" i="2"/>
  <c r="G136" i="2"/>
  <c r="G116" i="2"/>
  <c r="G100" i="2"/>
  <c r="L6" i="35"/>
  <c r="U6" i="35" s="1"/>
  <c r="L13" i="35"/>
  <c r="M13" i="35" s="1"/>
  <c r="V13" i="35" s="1"/>
  <c r="L5" i="35"/>
  <c r="U5" i="35" s="1"/>
  <c r="L9" i="35"/>
  <c r="U9" i="35" s="1"/>
  <c r="L14" i="35"/>
  <c r="U14" i="35" s="1"/>
  <c r="G105" i="2"/>
  <c r="L7" i="35"/>
  <c r="M7" i="35" s="1"/>
  <c r="V7" i="35" s="1"/>
  <c r="G114" i="2"/>
  <c r="G103" i="2"/>
  <c r="G58" i="2"/>
  <c r="G66" i="2"/>
  <c r="G130" i="2"/>
  <c r="G131" i="2"/>
  <c r="G55" i="2"/>
  <c r="G119" i="2"/>
  <c r="G83" i="2"/>
  <c r="G92" i="2"/>
  <c r="G101" i="2"/>
  <c r="Q58" i="5"/>
  <c r="Z58" i="5" s="1"/>
  <c r="T58" i="35"/>
  <c r="AB58" i="35" s="1"/>
  <c r="AC58" i="35" s="1"/>
  <c r="AD58" i="35" s="1"/>
  <c r="L24" i="35"/>
  <c r="T24" i="35"/>
  <c r="AB24" i="35" s="1"/>
  <c r="AC24" i="35" s="1"/>
  <c r="AD24" i="35" s="1"/>
  <c r="Q19" i="5"/>
  <c r="T19" i="35"/>
  <c r="AB19" i="35" s="1"/>
  <c r="AC19" i="35" s="1"/>
  <c r="AD19" i="35" s="1"/>
  <c r="L78" i="35"/>
  <c r="T78" i="35"/>
  <c r="AB78" i="35" s="1"/>
  <c r="AC78" i="35" s="1"/>
  <c r="AD78" i="35" s="1"/>
  <c r="Q15" i="5"/>
  <c r="T15" i="35"/>
  <c r="AB15" i="35" s="1"/>
  <c r="AC15" i="35" s="1"/>
  <c r="AD15" i="35" s="1"/>
  <c r="Q79" i="5"/>
  <c r="Z79" i="5" s="1"/>
  <c r="T79" i="35"/>
  <c r="AB79" i="35" s="1"/>
  <c r="AC79" i="35" s="1"/>
  <c r="AD79" i="35" s="1"/>
  <c r="Q49" i="5"/>
  <c r="T49" i="35"/>
  <c r="AB49" i="35" s="1"/>
  <c r="AC49" i="35" s="1"/>
  <c r="AD49" i="35" s="1"/>
  <c r="Q113" i="5"/>
  <c r="Z113" i="5" s="1"/>
  <c r="T113" i="35"/>
  <c r="AB113" i="35" s="1"/>
  <c r="AC113" i="35" s="1"/>
  <c r="AD113" i="35" s="1"/>
  <c r="Q74" i="5"/>
  <c r="Z74" i="5" s="1"/>
  <c r="T74" i="35"/>
  <c r="AB74" i="35" s="1"/>
  <c r="AC74" i="35" s="1"/>
  <c r="AD74" i="35" s="1"/>
  <c r="L116" i="35"/>
  <c r="T116" i="35"/>
  <c r="AB116" i="35" s="1"/>
  <c r="AC116" i="35" s="1"/>
  <c r="AD116" i="35" s="1"/>
  <c r="Q77" i="5"/>
  <c r="Z77" i="5" s="1"/>
  <c r="T77" i="35"/>
  <c r="AB77" i="35" s="1"/>
  <c r="AC77" i="35" s="1"/>
  <c r="AD77" i="35" s="1"/>
  <c r="Q63" i="5"/>
  <c r="Z63" i="5" s="1"/>
  <c r="T63" i="35"/>
  <c r="AB63" i="35" s="1"/>
  <c r="AC63" i="35" s="1"/>
  <c r="AD63" i="35" s="1"/>
  <c r="M5" i="35"/>
  <c r="V5" i="35" s="1"/>
  <c r="L88" i="35"/>
  <c r="T88" i="35"/>
  <c r="AB88" i="35" s="1"/>
  <c r="AC88" i="35" s="1"/>
  <c r="AD88" i="35" s="1"/>
  <c r="Q22" i="5"/>
  <c r="T22" i="35"/>
  <c r="AB22" i="35" s="1"/>
  <c r="AC22" i="35" s="1"/>
  <c r="AD22" i="35" s="1"/>
  <c r="Q86" i="5"/>
  <c r="Z86" i="5" s="1"/>
  <c r="T86" i="35"/>
  <c r="AB86" i="35" s="1"/>
  <c r="AC86" i="35" s="1"/>
  <c r="AD86" i="35" s="1"/>
  <c r="Q87" i="5"/>
  <c r="Z87" i="5" s="1"/>
  <c r="T87" i="35"/>
  <c r="AB87" i="35" s="1"/>
  <c r="AC87" i="35" s="1"/>
  <c r="AD87" i="35" s="1"/>
  <c r="Q57" i="5"/>
  <c r="Z57" i="5" s="1"/>
  <c r="T57" i="35"/>
  <c r="AB57" i="35" s="1"/>
  <c r="AC57" i="35" s="1"/>
  <c r="AD57" i="35" s="1"/>
  <c r="Q121" i="5"/>
  <c r="Z121" i="5" s="1"/>
  <c r="T121" i="35"/>
  <c r="AB121" i="35" s="1"/>
  <c r="AC121" i="35" s="1"/>
  <c r="AD121" i="35" s="1"/>
  <c r="L60" i="35"/>
  <c r="H83" i="2" s="1"/>
  <c r="T60" i="35"/>
  <c r="AB60" i="35" s="1"/>
  <c r="AC60" i="35" s="1"/>
  <c r="AD60" i="35" s="1"/>
  <c r="M4" i="35"/>
  <c r="V4" i="35" s="1"/>
  <c r="U4" i="35"/>
  <c r="Q31" i="5"/>
  <c r="T31" i="35"/>
  <c r="AB31" i="35" s="1"/>
  <c r="AC31" i="35" s="1"/>
  <c r="AD31" i="35" s="1"/>
  <c r="Q95" i="5"/>
  <c r="Z95" i="5" s="1"/>
  <c r="T95" i="35"/>
  <c r="AB95" i="35" s="1"/>
  <c r="AC95" i="35" s="1"/>
  <c r="AD95" i="35" s="1"/>
  <c r="Q65" i="5"/>
  <c r="Z65" i="5" s="1"/>
  <c r="T65" i="35"/>
  <c r="AB65" i="35" s="1"/>
  <c r="AC65" i="35" s="1"/>
  <c r="AD65" i="35" s="1"/>
  <c r="L43" i="35"/>
  <c r="H66" i="2" s="1"/>
  <c r="T43" i="35"/>
  <c r="AB43" i="35" s="1"/>
  <c r="AC43" i="35" s="1"/>
  <c r="AD43" i="35" s="1"/>
  <c r="L107" i="35"/>
  <c r="T107" i="35"/>
  <c r="AB107" i="35" s="1"/>
  <c r="AC107" i="35" s="1"/>
  <c r="AD107" i="35" s="1"/>
  <c r="Q68" i="5"/>
  <c r="Z68" i="5" s="1"/>
  <c r="T68" i="35"/>
  <c r="AB68" i="35" s="1"/>
  <c r="AC68" i="35" s="1"/>
  <c r="AD68" i="35" s="1"/>
  <c r="Q29" i="5"/>
  <c r="T29" i="35"/>
  <c r="AB29" i="35" s="1"/>
  <c r="AC29" i="35" s="1"/>
  <c r="AD29" i="35" s="1"/>
  <c r="Q93" i="5"/>
  <c r="Z93" i="5" s="1"/>
  <c r="T93" i="35"/>
  <c r="AB93" i="35" s="1"/>
  <c r="AC93" i="35" s="1"/>
  <c r="AD93" i="35" s="1"/>
  <c r="Q122" i="5"/>
  <c r="Z122" i="5" s="1"/>
  <c r="T122" i="35"/>
  <c r="AB122" i="35" s="1"/>
  <c r="AC122" i="35" s="1"/>
  <c r="AD122" i="35" s="1"/>
  <c r="Q71" i="5"/>
  <c r="Z71" i="5" s="1"/>
  <c r="T71" i="35"/>
  <c r="AB71" i="35" s="1"/>
  <c r="AC71" i="35" s="1"/>
  <c r="AD71" i="35" s="1"/>
  <c r="L105" i="35"/>
  <c r="T105" i="35"/>
  <c r="AB105" i="35" s="1"/>
  <c r="AC105" i="35" s="1"/>
  <c r="AD105" i="35" s="1"/>
  <c r="Q83" i="5"/>
  <c r="Z83" i="5" s="1"/>
  <c r="T83" i="35"/>
  <c r="AB83" i="35" s="1"/>
  <c r="AC83" i="35" s="1"/>
  <c r="AD83" i="35" s="1"/>
  <c r="L108" i="35"/>
  <c r="T108" i="35"/>
  <c r="AB108" i="35" s="1"/>
  <c r="AC108" i="35" s="1"/>
  <c r="AD108" i="35" s="1"/>
  <c r="M8" i="35"/>
  <c r="V8" i="35" s="1"/>
  <c r="U8" i="35"/>
  <c r="Q38" i="5"/>
  <c r="T38" i="35"/>
  <c r="AB38" i="35" s="1"/>
  <c r="AC38" i="35" s="1"/>
  <c r="AD38" i="35" s="1"/>
  <c r="Q102" i="5"/>
  <c r="Z102" i="5" s="1"/>
  <c r="T102" i="35"/>
  <c r="AB102" i="35" s="1"/>
  <c r="AC102" i="35" s="1"/>
  <c r="AD102" i="35" s="1"/>
  <c r="Q39" i="5"/>
  <c r="T39" i="35"/>
  <c r="AB39" i="35" s="1"/>
  <c r="AC39" i="35" s="1"/>
  <c r="AD39" i="35" s="1"/>
  <c r="Q103" i="5"/>
  <c r="Z103" i="5" s="1"/>
  <c r="T103" i="35"/>
  <c r="AB103" i="35" s="1"/>
  <c r="AC103" i="35" s="1"/>
  <c r="AD103" i="35" s="1"/>
  <c r="Q73" i="5"/>
  <c r="Z73" i="5" s="1"/>
  <c r="T73" i="35"/>
  <c r="AB73" i="35" s="1"/>
  <c r="AC73" i="35" s="1"/>
  <c r="AD73" i="35" s="1"/>
  <c r="L34" i="35"/>
  <c r="H57" i="2" s="1"/>
  <c r="T34" i="35"/>
  <c r="AB34" i="35" s="1"/>
  <c r="AC34" i="35" s="1"/>
  <c r="AD34" i="35" s="1"/>
  <c r="L98" i="35"/>
  <c r="T98" i="35"/>
  <c r="AB98" i="35" s="1"/>
  <c r="AC98" i="35" s="1"/>
  <c r="AD98" i="35" s="1"/>
  <c r="Q47" i="5"/>
  <c r="T47" i="35"/>
  <c r="AB47" i="35" s="1"/>
  <c r="AC47" i="35" s="1"/>
  <c r="AD47" i="35" s="1"/>
  <c r="Q111" i="5"/>
  <c r="Z111" i="5" s="1"/>
  <c r="T111" i="35"/>
  <c r="AB111" i="35" s="1"/>
  <c r="AC111" i="35" s="1"/>
  <c r="AD111" i="35" s="1"/>
  <c r="L106" i="35"/>
  <c r="T106" i="35"/>
  <c r="AB106" i="35" s="1"/>
  <c r="AC106" i="35" s="1"/>
  <c r="AD106" i="35" s="1"/>
  <c r="Q84" i="5"/>
  <c r="Z84" i="5" s="1"/>
  <c r="T84" i="35"/>
  <c r="AB84" i="35" s="1"/>
  <c r="AC84" i="35" s="1"/>
  <c r="AD84" i="35" s="1"/>
  <c r="L44" i="35"/>
  <c r="T44" i="35"/>
  <c r="AB44" i="35" s="1"/>
  <c r="AC44" i="35" s="1"/>
  <c r="AD44" i="35" s="1"/>
  <c r="Q55" i="5"/>
  <c r="Z55" i="5" s="1"/>
  <c r="T55" i="35"/>
  <c r="AB55" i="35" s="1"/>
  <c r="AC55" i="35" s="1"/>
  <c r="AD55" i="35" s="1"/>
  <c r="Q119" i="5"/>
  <c r="Z119" i="5" s="1"/>
  <c r="T119" i="35"/>
  <c r="AB119" i="35" s="1"/>
  <c r="AC119" i="35" s="1"/>
  <c r="AD119" i="35" s="1"/>
  <c r="L11" i="35"/>
  <c r="T11" i="35"/>
  <c r="AB11" i="35" s="1"/>
  <c r="AC11" i="35" s="1"/>
  <c r="AD11" i="35" s="1"/>
  <c r="Q67" i="5"/>
  <c r="Z67" i="5" s="1"/>
  <c r="T67" i="35"/>
  <c r="AB67" i="35" s="1"/>
  <c r="AC67" i="35" s="1"/>
  <c r="AD67" i="35" s="1"/>
  <c r="Q28" i="5"/>
  <c r="T28" i="35"/>
  <c r="AB28" i="35" s="1"/>
  <c r="AC28" i="35" s="1"/>
  <c r="AD28" i="35" s="1"/>
  <c r="Q92" i="5"/>
  <c r="Z92" i="5" s="1"/>
  <c r="T92" i="35"/>
  <c r="AB92" i="35" s="1"/>
  <c r="AC92" i="35" s="1"/>
  <c r="AD92" i="35" s="1"/>
  <c r="G50" i="2"/>
  <c r="Q6" i="5"/>
  <c r="Q5" i="5"/>
  <c r="G33" i="2"/>
  <c r="G44" i="2"/>
  <c r="Q10" i="5"/>
  <c r="G39" i="2"/>
  <c r="G47" i="2"/>
  <c r="G32" i="2"/>
  <c r="Q9" i="5"/>
  <c r="G35" i="2"/>
  <c r="G37" i="2"/>
  <c r="Q13" i="5"/>
  <c r="Q8" i="5"/>
  <c r="Q7" i="5"/>
  <c r="G30" i="2"/>
  <c r="G41" i="2"/>
  <c r="G36" i="2"/>
  <c r="Q23" i="5"/>
  <c r="Q20" i="5"/>
  <c r="G38" i="2"/>
  <c r="L136" i="35"/>
  <c r="M136" i="35" s="1"/>
  <c r="Q46" i="5"/>
  <c r="Q110" i="5"/>
  <c r="Z110" i="5" s="1"/>
  <c r="Q18" i="5"/>
  <c r="Q82" i="5"/>
  <c r="Z82" i="5" s="1"/>
  <c r="Q27" i="5"/>
  <c r="Q91" i="5"/>
  <c r="Z91" i="5" s="1"/>
  <c r="Q37" i="5"/>
  <c r="Q101" i="5"/>
  <c r="Z101" i="5" s="1"/>
  <c r="L144" i="35"/>
  <c r="M144" i="35" s="1"/>
  <c r="L189" i="35"/>
  <c r="M189" i="35" s="1"/>
  <c r="G56" i="2"/>
  <c r="G113" i="2"/>
  <c r="Q32" i="5"/>
  <c r="Q96" i="5"/>
  <c r="Z96" i="5" s="1"/>
  <c r="Q26" i="5"/>
  <c r="Q90" i="5"/>
  <c r="Z90" i="5" s="1"/>
  <c r="Q35" i="5"/>
  <c r="Q99" i="5"/>
  <c r="Z99" i="5" s="1"/>
  <c r="G49" i="2"/>
  <c r="L152" i="35"/>
  <c r="M152" i="35" s="1"/>
  <c r="L155" i="35"/>
  <c r="M155" i="35" s="1"/>
  <c r="L216" i="35"/>
  <c r="M216" i="35" s="1"/>
  <c r="Q17" i="5"/>
  <c r="Q81" i="5"/>
  <c r="Z81" i="5" s="1"/>
  <c r="Q45" i="5"/>
  <c r="Q109" i="5"/>
  <c r="Z109" i="5" s="1"/>
  <c r="G141" i="2"/>
  <c r="G122" i="2"/>
  <c r="Q54" i="5"/>
  <c r="Z54" i="5" s="1"/>
  <c r="Q118" i="5"/>
  <c r="Z118" i="5" s="1"/>
  <c r="Q36" i="5"/>
  <c r="Q100" i="5"/>
  <c r="Z100" i="5" s="1"/>
  <c r="Q48" i="5"/>
  <c r="Q112" i="5"/>
  <c r="Z112" i="5" s="1"/>
  <c r="Q40" i="5"/>
  <c r="Q104" i="5"/>
  <c r="Z104" i="5" s="1"/>
  <c r="Q30" i="5"/>
  <c r="Q85" i="5"/>
  <c r="Z85" i="5" s="1"/>
  <c r="L132" i="35"/>
  <c r="M132" i="35" s="1"/>
  <c r="Q94" i="5"/>
  <c r="Z94" i="5" s="1"/>
  <c r="Q21" i="5"/>
  <c r="Q76" i="5"/>
  <c r="Z76" i="5" s="1"/>
  <c r="Q66" i="5"/>
  <c r="Z66" i="5" s="1"/>
  <c r="Q75" i="5"/>
  <c r="Z75" i="5" s="1"/>
  <c r="Q12" i="5"/>
  <c r="L15" i="35"/>
  <c r="H38" i="2" s="1"/>
  <c r="H102" i="2"/>
  <c r="L12" i="35"/>
  <c r="H35" i="2" s="1"/>
  <c r="L79" i="35"/>
  <c r="L49" i="35"/>
  <c r="H72" i="2" s="1"/>
  <c r="G74" i="2"/>
  <c r="H107" i="2"/>
  <c r="L32" i="35"/>
  <c r="L113" i="35"/>
  <c r="L126" i="35"/>
  <c r="M126" i="35" s="1"/>
  <c r="L27" i="35"/>
  <c r="H50" i="2" s="1"/>
  <c r="Q33" i="5"/>
  <c r="Q97" i="5"/>
  <c r="Z97" i="5" s="1"/>
  <c r="H114" i="2"/>
  <c r="L10" i="35"/>
  <c r="H103" i="2"/>
  <c r="L96" i="35"/>
  <c r="L26" i="35"/>
  <c r="H49" i="2" s="1"/>
  <c r="L40" i="35"/>
  <c r="H63" i="2" s="1"/>
  <c r="L77" i="35"/>
  <c r="L99" i="35"/>
  <c r="L23" i="35"/>
  <c r="H145" i="2"/>
  <c r="H136" i="2"/>
  <c r="H111" i="2"/>
  <c r="H119" i="2"/>
  <c r="H115" i="2"/>
  <c r="L21" i="35"/>
  <c r="H44" i="2" s="1"/>
  <c r="Q14" i="5"/>
  <c r="Q41" i="5"/>
  <c r="Q105" i="5"/>
  <c r="Z105" i="5" s="1"/>
  <c r="L85" i="35"/>
  <c r="G28" i="2"/>
  <c r="L198" i="35"/>
  <c r="M198" i="35" s="1"/>
  <c r="G31" i="2"/>
  <c r="Q72" i="5"/>
  <c r="Z72" i="5" s="1"/>
  <c r="Q50" i="5"/>
  <c r="Q114" i="5"/>
  <c r="Z114" i="5" s="1"/>
  <c r="Q59" i="5"/>
  <c r="Z59" i="5" s="1"/>
  <c r="Q123" i="5"/>
  <c r="Z123" i="5" s="1"/>
  <c r="L128" i="35"/>
  <c r="M128" i="35" s="1"/>
  <c r="L125" i="35"/>
  <c r="M125" i="35" s="1"/>
  <c r="Q78" i="5"/>
  <c r="Z78" i="5" s="1"/>
  <c r="H106" i="2"/>
  <c r="Q69" i="5"/>
  <c r="Z69" i="5" s="1"/>
  <c r="L67" i="35"/>
  <c r="L180" i="35"/>
  <c r="M180" i="35" s="1"/>
  <c r="L134" i="35"/>
  <c r="M134" i="35" s="1"/>
  <c r="Q60" i="5"/>
  <c r="Z60" i="5" s="1"/>
  <c r="H132" i="2"/>
  <c r="L33" i="35"/>
  <c r="H56" i="2" s="1"/>
  <c r="G85" i="2"/>
  <c r="G57" i="2"/>
  <c r="G65" i="2"/>
  <c r="L93" i="35"/>
  <c r="L41" i="35"/>
  <c r="Q61" i="5"/>
  <c r="Z61" i="5" s="1"/>
  <c r="L68" i="35"/>
  <c r="H91" i="2" s="1"/>
  <c r="L71" i="35"/>
  <c r="H94" i="2" s="1"/>
  <c r="L29" i="35"/>
  <c r="H52" i="2" s="1"/>
  <c r="Q56" i="5"/>
  <c r="Z56" i="5" s="1"/>
  <c r="Q120" i="5"/>
  <c r="Z120" i="5" s="1"/>
  <c r="Q64" i="5"/>
  <c r="Z64" i="5" s="1"/>
  <c r="Q25" i="5"/>
  <c r="Q89" i="5"/>
  <c r="Z89" i="5" s="1"/>
  <c r="G121" i="2"/>
  <c r="Q70" i="5"/>
  <c r="Z70" i="5" s="1"/>
  <c r="Q24" i="5"/>
  <c r="Q88" i="5"/>
  <c r="Z88" i="5" s="1"/>
  <c r="Q52" i="5"/>
  <c r="Z52" i="5" s="1"/>
  <c r="Q116" i="5"/>
  <c r="Z116" i="5" s="1"/>
  <c r="L18" i="35"/>
  <c r="G67" i="2"/>
  <c r="L163" i="35"/>
  <c r="M163" i="35" s="1"/>
  <c r="L227" i="35"/>
  <c r="M227" i="35" s="1"/>
  <c r="L228" i="35"/>
  <c r="M228" i="35" s="1"/>
  <c r="Q34" i="5"/>
  <c r="Q98" i="5"/>
  <c r="Z98" i="5" s="1"/>
  <c r="Q43" i="5"/>
  <c r="Q107" i="5"/>
  <c r="Z107" i="5" s="1"/>
  <c r="Q80" i="5"/>
  <c r="Z80" i="5" s="1"/>
  <c r="Q108" i="5"/>
  <c r="Z108" i="5" s="1"/>
  <c r="G139" i="2"/>
  <c r="L91" i="35"/>
  <c r="L80" i="35"/>
  <c r="L69" i="35"/>
  <c r="H92" i="2" s="1"/>
  <c r="L200" i="35"/>
  <c r="M200" i="35" s="1"/>
  <c r="G29" i="2"/>
  <c r="Q42" i="5"/>
  <c r="Q106" i="5"/>
  <c r="Z106" i="5" s="1"/>
  <c r="Q51" i="5"/>
  <c r="Q115" i="5"/>
  <c r="Z115" i="5" s="1"/>
  <c r="Q62" i="5"/>
  <c r="Z62" i="5" s="1"/>
  <c r="Q16" i="5"/>
  <c r="Q44" i="5"/>
  <c r="L16" i="35"/>
  <c r="L82" i="35"/>
  <c r="G112" i="2"/>
  <c r="L83" i="35"/>
  <c r="L62" i="35"/>
  <c r="H85" i="2" s="1"/>
  <c r="L97" i="35"/>
  <c r="L100" i="35"/>
  <c r="L25" i="35"/>
  <c r="G120" i="2"/>
  <c r="L63" i="35"/>
  <c r="H86" i="2" s="1"/>
  <c r="Q53" i="5"/>
  <c r="Z53" i="5" s="1"/>
  <c r="Q117" i="5"/>
  <c r="Z117" i="5" s="1"/>
  <c r="L75" i="35"/>
  <c r="L36" i="35"/>
  <c r="H59" i="2" s="1"/>
  <c r="G123" i="2"/>
  <c r="L118" i="35"/>
  <c r="L72" i="35"/>
  <c r="G48" i="2"/>
  <c r="G84" i="2"/>
  <c r="G142" i="2"/>
  <c r="L55" i="35"/>
  <c r="G42" i="2"/>
  <c r="G95" i="2"/>
  <c r="L54" i="35"/>
  <c r="H77" i="2" s="1"/>
  <c r="G77" i="2"/>
  <c r="L19" i="35"/>
  <c r="H42" i="2" s="1"/>
  <c r="L61" i="35"/>
  <c r="H84" i="2" s="1"/>
  <c r="G59" i="2"/>
  <c r="L74" i="35"/>
  <c r="H97" i="2" s="1"/>
  <c r="L119" i="35"/>
  <c r="L89" i="35"/>
  <c r="G78" i="2"/>
  <c r="G111" i="2"/>
  <c r="G64" i="2"/>
  <c r="G128" i="2"/>
  <c r="G94" i="2"/>
  <c r="H110" i="2"/>
  <c r="H137" i="2"/>
  <c r="L90" i="35"/>
  <c r="H108" i="2"/>
  <c r="H128" i="2"/>
  <c r="L35" i="35"/>
  <c r="H58" i="2" s="1"/>
  <c r="L52" i="35"/>
  <c r="H75" i="2" s="1"/>
  <c r="L70" i="35"/>
  <c r="G75" i="2"/>
  <c r="L38" i="35"/>
  <c r="G93" i="2"/>
  <c r="G109" i="2"/>
  <c r="G110" i="2"/>
  <c r="G45" i="2"/>
  <c r="G138" i="2"/>
  <c r="L51" i="35"/>
  <c r="G127" i="2"/>
  <c r="L42" i="35"/>
  <c r="H122" i="2"/>
  <c r="L87" i="35"/>
  <c r="G46" i="2"/>
  <c r="L121" i="35"/>
  <c r="G144" i="2"/>
  <c r="G91" i="2"/>
  <c r="L115" i="35"/>
  <c r="L104" i="35"/>
  <c r="L57" i="35"/>
  <c r="G80" i="2"/>
  <c r="L86" i="35"/>
  <c r="G63" i="2"/>
  <c r="H140" i="2"/>
  <c r="L22" i="35"/>
  <c r="H45" i="2" s="1"/>
  <c r="G129" i="2"/>
  <c r="L20" i="35"/>
  <c r="L84" i="35"/>
  <c r="G68" i="2"/>
  <c r="G126" i="2"/>
  <c r="L58" i="35"/>
  <c r="H81" i="2" s="1"/>
  <c r="H101" i="2"/>
  <c r="H98" i="2"/>
  <c r="L122" i="35"/>
  <c r="L103" i="35"/>
  <c r="G61" i="2"/>
  <c r="H100" i="2"/>
  <c r="H139" i="2"/>
  <c r="H105" i="2"/>
  <c r="H118" i="2"/>
  <c r="G107" i="2"/>
  <c r="L102" i="35"/>
  <c r="L120" i="35"/>
  <c r="G81" i="2"/>
  <c r="G132" i="2"/>
  <c r="G143" i="2"/>
  <c r="L45" i="35"/>
  <c r="H68" i="2" s="1"/>
  <c r="G90" i="2"/>
  <c r="H117" i="2"/>
  <c r="H146" i="2"/>
  <c r="G43" i="2"/>
  <c r="L39" i="35"/>
  <c r="L56" i="35"/>
  <c r="H79" i="2" s="1"/>
  <c r="L73" i="35"/>
  <c r="G62" i="2"/>
  <c r="G125" i="2"/>
  <c r="G145" i="2"/>
  <c r="G79" i="2"/>
  <c r="G96" i="2"/>
  <c r="L109" i="35"/>
  <c r="L117" i="35"/>
  <c r="H120" i="2"/>
  <c r="G87" i="2"/>
  <c r="H46" i="2"/>
  <c r="M46" i="2" s="1"/>
  <c r="N46" i="2" s="1"/>
  <c r="G99" i="2"/>
  <c r="L110" i="35"/>
  <c r="G51" i="2"/>
  <c r="L64" i="35"/>
  <c r="G98" i="2"/>
  <c r="G140" i="2"/>
  <c r="G70" i="2"/>
  <c r="G134" i="2"/>
  <c r="G69" i="2"/>
  <c r="L111" i="35"/>
  <c r="L53" i="35"/>
  <c r="H76" i="2" s="1"/>
  <c r="L81" i="35"/>
  <c r="L66" i="35"/>
  <c r="G104" i="2"/>
  <c r="G76" i="2"/>
  <c r="G133" i="2"/>
  <c r="L92" i="35"/>
  <c r="L17" i="35"/>
  <c r="U17" i="35" s="1"/>
  <c r="G89" i="2"/>
  <c r="L47" i="35"/>
  <c r="L28" i="35"/>
  <c r="G115" i="2"/>
  <c r="G40" i="2"/>
  <c r="L46" i="35"/>
  <c r="U46" i="35" s="1"/>
  <c r="H47" i="2"/>
  <c r="H126" i="2"/>
  <c r="G54" i="2"/>
  <c r="H113" i="2"/>
  <c r="H143" i="2"/>
  <c r="L37" i="35"/>
  <c r="H60" i="2" s="1"/>
  <c r="G118" i="2"/>
  <c r="H109" i="2"/>
  <c r="J34" i="2"/>
  <c r="K34" i="2" s="1"/>
  <c r="J134" i="2"/>
  <c r="K134" i="2" s="1"/>
  <c r="L134" i="2" s="1"/>
  <c r="J127" i="2"/>
  <c r="O127" i="2" s="1"/>
  <c r="J106" i="2"/>
  <c r="M106" i="2" s="1"/>
  <c r="N106" i="2" s="1"/>
  <c r="J107" i="2"/>
  <c r="K107" i="2" s="1"/>
  <c r="L107" i="2" s="1"/>
  <c r="J139" i="2"/>
  <c r="K139" i="2" s="1"/>
  <c r="L139" i="2" s="1"/>
  <c r="J110" i="2"/>
  <c r="M110" i="2" s="1"/>
  <c r="N110" i="2" s="1"/>
  <c r="J138" i="2"/>
  <c r="M138" i="2" s="1"/>
  <c r="N138" i="2" s="1"/>
  <c r="J126" i="2"/>
  <c r="O126" i="2" s="1"/>
  <c r="J141" i="2"/>
  <c r="M141" i="2" s="1"/>
  <c r="N141" i="2" s="1"/>
  <c r="J112" i="2"/>
  <c r="M112" i="2" s="1"/>
  <c r="N112" i="2" s="1"/>
  <c r="L95" i="35"/>
  <c r="J133" i="2"/>
  <c r="K133" i="2" s="1"/>
  <c r="L133" i="2" s="1"/>
  <c r="G117" i="2"/>
  <c r="J128" i="2"/>
  <c r="K128" i="2" s="1"/>
  <c r="L128" i="2" s="1"/>
  <c r="J33" i="2"/>
  <c r="K33" i="2" s="1"/>
  <c r="J50" i="2"/>
  <c r="K50" i="2" s="1"/>
  <c r="J39" i="2"/>
  <c r="K39" i="2" s="1"/>
  <c r="J103" i="2"/>
  <c r="K103" i="2" s="1"/>
  <c r="L103" i="2" s="1"/>
  <c r="L112" i="35"/>
  <c r="J92" i="2"/>
  <c r="J132" i="2"/>
  <c r="O132" i="2" s="1"/>
  <c r="L123" i="35"/>
  <c r="G53" i="2"/>
  <c r="G82" i="2"/>
  <c r="G137" i="2"/>
  <c r="J121" i="2"/>
  <c r="M121" i="2" s="1"/>
  <c r="N121" i="2" s="1"/>
  <c r="L101" i="35"/>
  <c r="J140" i="2"/>
  <c r="K140" i="2" s="1"/>
  <c r="L140" i="2" s="1"/>
  <c r="L48" i="35"/>
  <c r="H33" i="2"/>
  <c r="J70" i="2"/>
  <c r="K70" i="2" s="1"/>
  <c r="J51" i="2"/>
  <c r="K51" i="2" s="1"/>
  <c r="J83" i="2"/>
  <c r="J115" i="2"/>
  <c r="M115" i="2" s="1"/>
  <c r="N115" i="2" s="1"/>
  <c r="L114" i="35"/>
  <c r="G71" i="2"/>
  <c r="G135" i="2"/>
  <c r="J105" i="2"/>
  <c r="M105" i="2" s="1"/>
  <c r="N105" i="2" s="1"/>
  <c r="L65" i="35"/>
  <c r="J120" i="2"/>
  <c r="K120" i="2" s="1"/>
  <c r="L120" i="2" s="1"/>
  <c r="J145" i="2"/>
  <c r="M145" i="2" s="1"/>
  <c r="N145" i="2" s="1"/>
  <c r="J100" i="2"/>
  <c r="M100" i="2" s="1"/>
  <c r="N100" i="2" s="1"/>
  <c r="G60" i="2"/>
  <c r="G124" i="2"/>
  <c r="J62" i="2"/>
  <c r="O62" i="2" s="1"/>
  <c r="J77" i="2"/>
  <c r="O77" i="2" s="1"/>
  <c r="J47" i="2"/>
  <c r="K47" i="2" s="1"/>
  <c r="J79" i="2"/>
  <c r="K79" i="2" s="1"/>
  <c r="J111" i="2"/>
  <c r="K111" i="2" s="1"/>
  <c r="L111" i="2" s="1"/>
  <c r="J143" i="2"/>
  <c r="M143" i="2" s="1"/>
  <c r="N143" i="2" s="1"/>
  <c r="L94" i="35"/>
  <c r="G88" i="2"/>
  <c r="L30" i="35"/>
  <c r="J113" i="2"/>
  <c r="K113" i="2" s="1"/>
  <c r="L113" i="2" s="1"/>
  <c r="J98" i="2"/>
  <c r="M98" i="2" s="1"/>
  <c r="N98" i="2" s="1"/>
  <c r="J125" i="2"/>
  <c r="M125" i="2" s="1"/>
  <c r="N125" i="2" s="1"/>
  <c r="J114" i="2"/>
  <c r="K114" i="2" s="1"/>
  <c r="L114" i="2" s="1"/>
  <c r="J129" i="2"/>
  <c r="O129" i="2" s="1"/>
  <c r="G34" i="2"/>
  <c r="Q11" i="5"/>
  <c r="J123" i="2"/>
  <c r="O123" i="2" s="1"/>
  <c r="J60" i="2"/>
  <c r="K60" i="2" s="1"/>
  <c r="J130" i="2"/>
  <c r="O130" i="2" s="1"/>
  <c r="J136" i="2"/>
  <c r="O136" i="2" s="1"/>
  <c r="L59" i="35"/>
  <c r="J57" i="2"/>
  <c r="O57" i="2" s="1"/>
  <c r="J97" i="2"/>
  <c r="O97" i="2" s="1"/>
  <c r="L50" i="35"/>
  <c r="J102" i="2"/>
  <c r="M102" i="2" s="1"/>
  <c r="N102" i="2" s="1"/>
  <c r="J119" i="2"/>
  <c r="K119" i="2" s="1"/>
  <c r="L119" i="2" s="1"/>
  <c r="J142" i="2"/>
  <c r="M142" i="2" s="1"/>
  <c r="N142" i="2" s="1"/>
  <c r="G146" i="2"/>
  <c r="J59" i="2"/>
  <c r="K59" i="2" s="1"/>
  <c r="J109" i="2"/>
  <c r="M109" i="2" s="1"/>
  <c r="N109" i="2" s="1"/>
  <c r="H112" i="2"/>
  <c r="J122" i="2"/>
  <c r="M122" i="2" s="1"/>
  <c r="N122" i="2" s="1"/>
  <c r="L76" i="35"/>
  <c r="J131" i="2"/>
  <c r="O131" i="2" s="1"/>
  <c r="J85" i="2"/>
  <c r="J101" i="2"/>
  <c r="O101" i="2" s="1"/>
  <c r="L31" i="35"/>
  <c r="J116" i="2"/>
  <c r="M116" i="2" s="1"/>
  <c r="N116" i="2" s="1"/>
  <c r="J104" i="2"/>
  <c r="M104" i="2" s="1"/>
  <c r="N104" i="2" s="1"/>
  <c r="J144" i="2"/>
  <c r="O144" i="2" s="1"/>
  <c r="J108" i="2"/>
  <c r="M108" i="2" s="1"/>
  <c r="N108" i="2" s="1"/>
  <c r="G73" i="2"/>
  <c r="K69" i="2"/>
  <c r="K40" i="2"/>
  <c r="H90" i="2"/>
  <c r="H48" i="2"/>
  <c r="H34" i="2"/>
  <c r="H138" i="2"/>
  <c r="H142" i="2"/>
  <c r="J43" i="2"/>
  <c r="K43" i="2" s="1"/>
  <c r="H135" i="2"/>
  <c r="J36" i="2"/>
  <c r="K36" i="2" s="1"/>
  <c r="K46" i="2"/>
  <c r="H124" i="2"/>
  <c r="K74" i="2"/>
  <c r="J48" i="2"/>
  <c r="K48" i="2" s="1"/>
  <c r="H141" i="2"/>
  <c r="O74" i="2"/>
  <c r="H131" i="2"/>
  <c r="H123" i="2"/>
  <c r="H134" i="2"/>
  <c r="H144" i="2"/>
  <c r="H116" i="2"/>
  <c r="H130" i="2"/>
  <c r="H104" i="2"/>
  <c r="H127" i="2"/>
  <c r="J90" i="2"/>
  <c r="J54" i="2"/>
  <c r="K54" i="2" s="1"/>
  <c r="J87" i="2"/>
  <c r="J56" i="2"/>
  <c r="J81" i="2"/>
  <c r="J35" i="2"/>
  <c r="K35" i="2" s="1"/>
  <c r="J38" i="2"/>
  <c r="K38" i="2" s="1"/>
  <c r="J76" i="2"/>
  <c r="J28" i="2"/>
  <c r="K28" i="2" s="1"/>
  <c r="J52" i="2"/>
  <c r="K52" i="2" s="1"/>
  <c r="J29" i="2"/>
  <c r="K29" i="2" s="1"/>
  <c r="J93" i="2"/>
  <c r="J31" i="2"/>
  <c r="K31" i="2" s="1"/>
  <c r="J95" i="2"/>
  <c r="J64" i="2"/>
  <c r="J89" i="2"/>
  <c r="J42" i="2"/>
  <c r="K42" i="2" s="1"/>
  <c r="J67" i="2"/>
  <c r="J37" i="2"/>
  <c r="K37" i="2" s="1"/>
  <c r="J72" i="2"/>
  <c r="H99" i="2"/>
  <c r="H129" i="2"/>
  <c r="J44" i="2"/>
  <c r="K44" i="2" s="1"/>
  <c r="J75" i="2"/>
  <c r="J45" i="2"/>
  <c r="K45" i="2" s="1"/>
  <c r="J78" i="2"/>
  <c r="J80" i="2"/>
  <c r="J41" i="2"/>
  <c r="K41" i="2" s="1"/>
  <c r="H133" i="2"/>
  <c r="H125" i="2"/>
  <c r="J58" i="2"/>
  <c r="J86" i="2"/>
  <c r="J55" i="2"/>
  <c r="K55" i="2" s="1"/>
  <c r="J88" i="2"/>
  <c r="J49" i="2"/>
  <c r="K49" i="2" s="1"/>
  <c r="J65" i="2"/>
  <c r="H121" i="2"/>
  <c r="O69" i="2"/>
  <c r="J68" i="2"/>
  <c r="J84" i="2"/>
  <c r="J66" i="2"/>
  <c r="J27" i="2"/>
  <c r="J91" i="2"/>
  <c r="J61" i="2"/>
  <c r="J30" i="2"/>
  <c r="K30" i="2" s="1"/>
  <c r="J94" i="2"/>
  <c r="J63" i="2"/>
  <c r="J32" i="2"/>
  <c r="K32" i="2" s="1"/>
  <c r="J96" i="2"/>
  <c r="H32" i="2"/>
  <c r="H95" i="2"/>
  <c r="H67" i="2"/>
  <c r="H27" i="2"/>
  <c r="H41" i="2"/>
  <c r="H55" i="2"/>
  <c r="H30" i="2"/>
  <c r="H64" i="2"/>
  <c r="I36" i="2" l="1"/>
  <c r="M6" i="35"/>
  <c r="V6" i="35" s="1"/>
  <c r="I27" i="2"/>
  <c r="H36" i="2"/>
  <c r="R13" i="5"/>
  <c r="I28" i="2"/>
  <c r="R6" i="5"/>
  <c r="R4" i="5"/>
  <c r="H39" i="2"/>
  <c r="L39" i="2" s="1"/>
  <c r="M14" i="35"/>
  <c r="V14" i="35" s="1"/>
  <c r="M9" i="35"/>
  <c r="U13" i="35"/>
  <c r="U7" i="35"/>
  <c r="I31" i="2"/>
  <c r="R7" i="5"/>
  <c r="I30" i="2"/>
  <c r="M42" i="35"/>
  <c r="I65" i="2" s="1"/>
  <c r="U42" i="35"/>
  <c r="M89" i="35"/>
  <c r="U89" i="35"/>
  <c r="M47" i="35"/>
  <c r="I70" i="2" s="1"/>
  <c r="U47" i="35"/>
  <c r="M119" i="35"/>
  <c r="U119" i="35"/>
  <c r="M58" i="35"/>
  <c r="I81" i="2" s="1"/>
  <c r="U58" i="35"/>
  <c r="M62" i="35"/>
  <c r="U62" i="35"/>
  <c r="M80" i="35"/>
  <c r="V80" i="35" s="1"/>
  <c r="U80" i="35"/>
  <c r="M96" i="35"/>
  <c r="U96" i="35"/>
  <c r="M113" i="35"/>
  <c r="U113" i="35"/>
  <c r="M15" i="35"/>
  <c r="U15" i="35"/>
  <c r="M122" i="35"/>
  <c r="U122" i="35"/>
  <c r="M25" i="35"/>
  <c r="U25" i="35"/>
  <c r="M100" i="35"/>
  <c r="U100" i="35"/>
  <c r="M64" i="35"/>
  <c r="R64" i="5" s="1"/>
  <c r="AA64" i="5" s="1"/>
  <c r="U64" i="35"/>
  <c r="M45" i="35"/>
  <c r="I68" i="2" s="1"/>
  <c r="U45" i="35"/>
  <c r="M52" i="35"/>
  <c r="U52" i="35"/>
  <c r="M30" i="35"/>
  <c r="V30" i="35" s="1"/>
  <c r="U30" i="35"/>
  <c r="M65" i="35"/>
  <c r="V65" i="35" s="1"/>
  <c r="U65" i="35"/>
  <c r="M48" i="35"/>
  <c r="R48" i="5" s="1"/>
  <c r="U48" i="35"/>
  <c r="M92" i="35"/>
  <c r="U92" i="35"/>
  <c r="M117" i="35"/>
  <c r="U117" i="35"/>
  <c r="M73" i="35"/>
  <c r="I96" i="2" s="1"/>
  <c r="U73" i="35"/>
  <c r="M121" i="35"/>
  <c r="U121" i="35"/>
  <c r="M35" i="35"/>
  <c r="R35" i="5" s="1"/>
  <c r="U35" i="35"/>
  <c r="M61" i="35"/>
  <c r="I84" i="2" s="1"/>
  <c r="U61" i="35"/>
  <c r="M83" i="35"/>
  <c r="U83" i="35"/>
  <c r="M91" i="35"/>
  <c r="U91" i="35"/>
  <c r="M41" i="35"/>
  <c r="U41" i="35"/>
  <c r="M85" i="35"/>
  <c r="U85" i="35"/>
  <c r="M32" i="35"/>
  <c r="U32" i="35"/>
  <c r="U34" i="35"/>
  <c r="M108" i="35"/>
  <c r="V108" i="35" s="1"/>
  <c r="U108" i="35"/>
  <c r="M107" i="35"/>
  <c r="V107" i="35" s="1"/>
  <c r="U107" i="35"/>
  <c r="M60" i="35"/>
  <c r="U60" i="35"/>
  <c r="M78" i="35"/>
  <c r="V78" i="35" s="1"/>
  <c r="U78" i="35"/>
  <c r="M112" i="35"/>
  <c r="V112" i="35" s="1"/>
  <c r="U112" i="35"/>
  <c r="M28" i="35"/>
  <c r="I51" i="2" s="1"/>
  <c r="U28" i="35"/>
  <c r="M38" i="35"/>
  <c r="I61" i="2" s="1"/>
  <c r="U38" i="35"/>
  <c r="M50" i="35"/>
  <c r="R50" i="5" s="1"/>
  <c r="U50" i="35"/>
  <c r="M22" i="35"/>
  <c r="U22" i="35"/>
  <c r="M111" i="35"/>
  <c r="U111" i="35"/>
  <c r="M31" i="35"/>
  <c r="V31" i="35" s="1"/>
  <c r="U31" i="35"/>
  <c r="M114" i="35"/>
  <c r="V114" i="35" s="1"/>
  <c r="U114" i="35"/>
  <c r="M123" i="35"/>
  <c r="V123" i="35" s="1"/>
  <c r="U123" i="35"/>
  <c r="M110" i="35"/>
  <c r="U110" i="35"/>
  <c r="M56" i="35"/>
  <c r="U56" i="35"/>
  <c r="M86" i="35"/>
  <c r="U86" i="35"/>
  <c r="M19" i="35"/>
  <c r="U19" i="35"/>
  <c r="M93" i="35"/>
  <c r="U93" i="35"/>
  <c r="M10" i="35"/>
  <c r="U10" i="35"/>
  <c r="M115" i="35"/>
  <c r="U115" i="35"/>
  <c r="M94" i="35"/>
  <c r="V94" i="35" s="1"/>
  <c r="U94" i="35"/>
  <c r="M101" i="35"/>
  <c r="V101" i="35" s="1"/>
  <c r="U101" i="35"/>
  <c r="M37" i="35"/>
  <c r="U37" i="35"/>
  <c r="M109" i="35"/>
  <c r="U109" i="35"/>
  <c r="M39" i="35"/>
  <c r="I62" i="2" s="1"/>
  <c r="U39" i="35"/>
  <c r="M84" i="35"/>
  <c r="U84" i="35"/>
  <c r="M87" i="35"/>
  <c r="U87" i="35"/>
  <c r="M72" i="35"/>
  <c r="U72" i="35"/>
  <c r="M63" i="35"/>
  <c r="U63" i="35"/>
  <c r="M82" i="35"/>
  <c r="U82" i="35"/>
  <c r="M67" i="35"/>
  <c r="I90" i="2" s="1"/>
  <c r="U67" i="35"/>
  <c r="M23" i="35"/>
  <c r="U23" i="35"/>
  <c r="M11" i="35"/>
  <c r="U11" i="35"/>
  <c r="M44" i="35"/>
  <c r="U44" i="35"/>
  <c r="M43" i="35"/>
  <c r="U43" i="35"/>
  <c r="M81" i="35"/>
  <c r="U81" i="35"/>
  <c r="M36" i="35"/>
  <c r="U36" i="35"/>
  <c r="M59" i="35"/>
  <c r="R59" i="5" s="1"/>
  <c r="AA59" i="5" s="1"/>
  <c r="U59" i="35"/>
  <c r="M95" i="35"/>
  <c r="V95" i="35" s="1"/>
  <c r="U95" i="35"/>
  <c r="M120" i="35"/>
  <c r="U120" i="35"/>
  <c r="M103" i="35"/>
  <c r="U103" i="35"/>
  <c r="M20" i="35"/>
  <c r="R20" i="5" s="1"/>
  <c r="U20" i="35"/>
  <c r="M57" i="35"/>
  <c r="R57" i="5" s="1"/>
  <c r="AA57" i="5" s="1"/>
  <c r="U57" i="35"/>
  <c r="M90" i="35"/>
  <c r="U90" i="35"/>
  <c r="M54" i="35"/>
  <c r="U54" i="35"/>
  <c r="M118" i="35"/>
  <c r="U118" i="35"/>
  <c r="M16" i="35"/>
  <c r="U16" i="35"/>
  <c r="M99" i="35"/>
  <c r="U99" i="35"/>
  <c r="M49" i="35"/>
  <c r="U49" i="35"/>
  <c r="M29" i="35"/>
  <c r="U29" i="35"/>
  <c r="M21" i="35"/>
  <c r="U21" i="35"/>
  <c r="M77" i="35"/>
  <c r="U77" i="35"/>
  <c r="M79" i="35"/>
  <c r="U79" i="35"/>
  <c r="M105" i="35"/>
  <c r="U105" i="35"/>
  <c r="M88" i="35"/>
  <c r="U88" i="35"/>
  <c r="M116" i="35"/>
  <c r="U116" i="35"/>
  <c r="M24" i="35"/>
  <c r="U24" i="35"/>
  <c r="M66" i="35"/>
  <c r="R66" i="5" s="1"/>
  <c r="AA66" i="5" s="1"/>
  <c r="U66" i="35"/>
  <c r="M102" i="35"/>
  <c r="U102" i="35"/>
  <c r="M104" i="35"/>
  <c r="U104" i="35"/>
  <c r="M71" i="35"/>
  <c r="U71" i="35"/>
  <c r="M33" i="35"/>
  <c r="U33" i="35"/>
  <c r="M40" i="35"/>
  <c r="U40" i="35"/>
  <c r="M27" i="35"/>
  <c r="U27" i="35"/>
  <c r="M12" i="35"/>
  <c r="V12" i="35" s="1"/>
  <c r="U12" i="35"/>
  <c r="M76" i="35"/>
  <c r="V76" i="35" s="1"/>
  <c r="U76" i="35"/>
  <c r="M53" i="35"/>
  <c r="I76" i="2" s="1"/>
  <c r="U53" i="35"/>
  <c r="M51" i="35"/>
  <c r="I74" i="2" s="1"/>
  <c r="U51" i="35"/>
  <c r="M70" i="35"/>
  <c r="R70" i="5" s="1"/>
  <c r="AA70" i="5" s="1"/>
  <c r="U70" i="35"/>
  <c r="M74" i="35"/>
  <c r="I97" i="2" s="1"/>
  <c r="U74" i="35"/>
  <c r="M55" i="35"/>
  <c r="I78" i="2" s="1"/>
  <c r="U55" i="35"/>
  <c r="M75" i="35"/>
  <c r="U75" i="35"/>
  <c r="M97" i="35"/>
  <c r="U97" i="35"/>
  <c r="M69" i="35"/>
  <c r="R69" i="5" s="1"/>
  <c r="AA69" i="5" s="1"/>
  <c r="U69" i="35"/>
  <c r="M18" i="35"/>
  <c r="U18" i="35"/>
  <c r="M68" i="35"/>
  <c r="I91" i="2" s="1"/>
  <c r="U68" i="35"/>
  <c r="M26" i="35"/>
  <c r="U26" i="35"/>
  <c r="M106" i="35"/>
  <c r="U106" i="35"/>
  <c r="M98" i="35"/>
  <c r="U98" i="35"/>
  <c r="L50" i="2"/>
  <c r="H29" i="2"/>
  <c r="L29" i="2" s="1"/>
  <c r="I29" i="2"/>
  <c r="H28" i="2"/>
  <c r="M28" i="2" s="1"/>
  <c r="N28" i="2" s="1"/>
  <c r="M133" i="2"/>
  <c r="N133" i="2" s="1"/>
  <c r="H37" i="2"/>
  <c r="L37" i="2" s="1"/>
  <c r="H31" i="2"/>
  <c r="L31" i="2" s="1"/>
  <c r="R8" i="5"/>
  <c r="K138" i="2"/>
  <c r="L138" i="2" s="1"/>
  <c r="O138" i="2"/>
  <c r="K98" i="2"/>
  <c r="L98" i="2" s="1"/>
  <c r="R5" i="5"/>
  <c r="M34" i="2"/>
  <c r="N34" i="2" s="1"/>
  <c r="H74" i="2"/>
  <c r="L74" i="2" s="1"/>
  <c r="K141" i="2"/>
  <c r="L141" i="2" s="1"/>
  <c r="M139" i="2"/>
  <c r="N139" i="2" s="1"/>
  <c r="M50" i="2"/>
  <c r="N50" i="2" s="1"/>
  <c r="O139" i="2"/>
  <c r="H93" i="2"/>
  <c r="M93" i="2" s="1"/>
  <c r="N93" i="2" s="1"/>
  <c r="H78" i="2"/>
  <c r="M78" i="2" s="1"/>
  <c r="N78" i="2" s="1"/>
  <c r="M119" i="2"/>
  <c r="N119" i="2" s="1"/>
  <c r="H65" i="2"/>
  <c r="M65" i="2" s="1"/>
  <c r="N65" i="2" s="1"/>
  <c r="H61" i="2"/>
  <c r="M61" i="2" s="1"/>
  <c r="N61" i="2" s="1"/>
  <c r="M130" i="2"/>
  <c r="N130" i="2" s="1"/>
  <c r="H43" i="2"/>
  <c r="M43" i="2" s="1"/>
  <c r="N43" i="2" s="1"/>
  <c r="M144" i="2"/>
  <c r="N144" i="2" s="1"/>
  <c r="K101" i="2"/>
  <c r="L101" i="2" s="1"/>
  <c r="H80" i="2"/>
  <c r="M80" i="2" s="1"/>
  <c r="N80" i="2" s="1"/>
  <c r="M101" i="2"/>
  <c r="N101" i="2" s="1"/>
  <c r="K129" i="2"/>
  <c r="L129" i="2" s="1"/>
  <c r="M83" i="2"/>
  <c r="N83" i="2" s="1"/>
  <c r="K144" i="2"/>
  <c r="L144" i="2" s="1"/>
  <c r="M120" i="2"/>
  <c r="N120" i="2" s="1"/>
  <c r="K108" i="2"/>
  <c r="L108" i="2" s="1"/>
  <c r="H53" i="2"/>
  <c r="L46" i="2"/>
  <c r="H62" i="2"/>
  <c r="M62" i="2" s="1"/>
  <c r="N62" i="2" s="1"/>
  <c r="O142" i="2"/>
  <c r="H71" i="2"/>
  <c r="H96" i="2"/>
  <c r="M96" i="2" s="1"/>
  <c r="N96" i="2" s="1"/>
  <c r="O59" i="2"/>
  <c r="L47" i="2"/>
  <c r="O145" i="2"/>
  <c r="M136" i="2"/>
  <c r="N136" i="2" s="1"/>
  <c r="O79" i="2"/>
  <c r="H73" i="2"/>
  <c r="K136" i="2"/>
  <c r="L136" i="2" s="1"/>
  <c r="H54" i="2"/>
  <c r="L54" i="2" s="1"/>
  <c r="K127" i="2"/>
  <c r="L127" i="2" s="1"/>
  <c r="M114" i="2"/>
  <c r="N114" i="2" s="1"/>
  <c r="O60" i="2"/>
  <c r="K122" i="2"/>
  <c r="L122" i="2" s="1"/>
  <c r="L45" i="2"/>
  <c r="H87" i="2"/>
  <c r="M87" i="2" s="1"/>
  <c r="N87" i="2" s="1"/>
  <c r="M79" i="2"/>
  <c r="N79" i="2" s="1"/>
  <c r="H89" i="2"/>
  <c r="M89" i="2" s="1"/>
  <c r="N89" i="2" s="1"/>
  <c r="O143" i="2"/>
  <c r="O98" i="2"/>
  <c r="M92" i="2"/>
  <c r="N92" i="2" s="1"/>
  <c r="M77" i="2"/>
  <c r="N77" i="2" s="1"/>
  <c r="L41" i="2"/>
  <c r="K142" i="2"/>
  <c r="L142" i="2" s="1"/>
  <c r="K130" i="2"/>
  <c r="L130" i="2" s="1"/>
  <c r="H51" i="2"/>
  <c r="L51" i="2" s="1"/>
  <c r="K102" i="2"/>
  <c r="L102" i="2" s="1"/>
  <c r="K62" i="2"/>
  <c r="K112" i="2"/>
  <c r="L112" i="2" s="1"/>
  <c r="M52" i="2"/>
  <c r="N52" i="2" s="1"/>
  <c r="K100" i="2"/>
  <c r="L100" i="2" s="1"/>
  <c r="O102" i="2"/>
  <c r="M111" i="2"/>
  <c r="N111" i="2" s="1"/>
  <c r="O83" i="2"/>
  <c r="O100" i="2"/>
  <c r="K106" i="2"/>
  <c r="L106" i="2" s="1"/>
  <c r="H70" i="2"/>
  <c r="M70" i="2" s="1"/>
  <c r="N70" i="2" s="1"/>
  <c r="K83" i="2"/>
  <c r="L83" i="2" s="1"/>
  <c r="L36" i="2"/>
  <c r="M140" i="2"/>
  <c r="N140" i="2" s="1"/>
  <c r="O133" i="2"/>
  <c r="K131" i="2"/>
  <c r="L131" i="2" s="1"/>
  <c r="K77" i="2"/>
  <c r="L77" i="2" s="1"/>
  <c r="K143" i="2"/>
  <c r="L143" i="2" s="1"/>
  <c r="O92" i="2"/>
  <c r="M67" i="2"/>
  <c r="N67" i="2" s="1"/>
  <c r="M131" i="2"/>
  <c r="N131" i="2" s="1"/>
  <c r="K121" i="2"/>
  <c r="L121" i="2" s="1"/>
  <c r="K115" i="2"/>
  <c r="L115" i="2" s="1"/>
  <c r="M84" i="2"/>
  <c r="N84" i="2" s="1"/>
  <c r="M57" i="2"/>
  <c r="N57" i="2" s="1"/>
  <c r="K116" i="2"/>
  <c r="L116" i="2" s="1"/>
  <c r="K109" i="2"/>
  <c r="L109" i="2" s="1"/>
  <c r="O141" i="2"/>
  <c r="M33" i="2"/>
  <c r="N33" i="2" s="1"/>
  <c r="L60" i="2"/>
  <c r="K57" i="2"/>
  <c r="L57" i="2" s="1"/>
  <c r="K92" i="2"/>
  <c r="L92" i="2" s="1"/>
  <c r="L33" i="2"/>
  <c r="M60" i="2"/>
  <c r="N60" i="2" s="1"/>
  <c r="H82" i="2"/>
  <c r="M129" i="2"/>
  <c r="N129" i="2" s="1"/>
  <c r="M113" i="2"/>
  <c r="N113" i="2" s="1"/>
  <c r="M128" i="2"/>
  <c r="N128" i="2" s="1"/>
  <c r="O103" i="2"/>
  <c r="O140" i="2"/>
  <c r="H88" i="2"/>
  <c r="M88" i="2" s="1"/>
  <c r="N88" i="2" s="1"/>
  <c r="M63" i="2"/>
  <c r="N63" i="2" s="1"/>
  <c r="K126" i="2"/>
  <c r="L126" i="2" s="1"/>
  <c r="L79" i="2"/>
  <c r="M134" i="2"/>
  <c r="N134" i="2" s="1"/>
  <c r="M126" i="2"/>
  <c r="N126" i="2" s="1"/>
  <c r="O104" i="2"/>
  <c r="M17" i="35"/>
  <c r="V17" i="35" s="1"/>
  <c r="H40" i="2"/>
  <c r="O134" i="2"/>
  <c r="K104" i="2"/>
  <c r="L104" i="2" s="1"/>
  <c r="M107" i="2"/>
  <c r="N107" i="2" s="1"/>
  <c r="O128" i="2"/>
  <c r="M103" i="2"/>
  <c r="N103" i="2" s="1"/>
  <c r="M46" i="35"/>
  <c r="V46" i="35" s="1"/>
  <c r="H69" i="2"/>
  <c r="O125" i="2"/>
  <c r="M123" i="2"/>
  <c r="N123" i="2" s="1"/>
  <c r="K125" i="2"/>
  <c r="L125" i="2" s="1"/>
  <c r="K105" i="2"/>
  <c r="L105" i="2" s="1"/>
  <c r="L59" i="2"/>
  <c r="K123" i="2"/>
  <c r="L123" i="2" s="1"/>
  <c r="M127" i="2"/>
  <c r="N127" i="2" s="1"/>
  <c r="K110" i="2"/>
  <c r="L110" i="2" s="1"/>
  <c r="M85" i="2"/>
  <c r="N85" i="2" s="1"/>
  <c r="K145" i="2"/>
  <c r="L145" i="2" s="1"/>
  <c r="L34" i="2"/>
  <c r="J117" i="2"/>
  <c r="L44" i="2"/>
  <c r="K97" i="2"/>
  <c r="L97" i="2" s="1"/>
  <c r="O70" i="2"/>
  <c r="M132" i="2"/>
  <c r="N132" i="2" s="1"/>
  <c r="J99" i="2"/>
  <c r="J71" i="2"/>
  <c r="J135" i="2"/>
  <c r="J118" i="2"/>
  <c r="R95" i="5"/>
  <c r="AA95" i="5" s="1"/>
  <c r="M97" i="2"/>
  <c r="N97" i="2" s="1"/>
  <c r="K132" i="2"/>
  <c r="L132" i="2" s="1"/>
  <c r="K85" i="2"/>
  <c r="L85" i="2" s="1"/>
  <c r="L48" i="2"/>
  <c r="J82" i="2"/>
  <c r="M47" i="2"/>
  <c r="N47" i="2" s="1"/>
  <c r="O85" i="2"/>
  <c r="J73" i="2"/>
  <c r="J53" i="2"/>
  <c r="J137" i="2"/>
  <c r="J124" i="2"/>
  <c r="J146" i="2"/>
  <c r="M95" i="2"/>
  <c r="N95" i="2" s="1"/>
  <c r="M44" i="2"/>
  <c r="N44" i="2" s="1"/>
  <c r="L32" i="2"/>
  <c r="M32" i="2"/>
  <c r="N32" i="2" s="1"/>
  <c r="M55" i="2"/>
  <c r="N55" i="2" s="1"/>
  <c r="M48" i="2"/>
  <c r="N48" i="2" s="1"/>
  <c r="O86" i="2"/>
  <c r="K86" i="2"/>
  <c r="L86" i="2" s="1"/>
  <c r="K78" i="2"/>
  <c r="O78" i="2"/>
  <c r="M86" i="2"/>
  <c r="N86" i="2" s="1"/>
  <c r="O89" i="2"/>
  <c r="K89" i="2"/>
  <c r="O84" i="2"/>
  <c r="K84" i="2"/>
  <c r="L84" i="2" s="1"/>
  <c r="K75" i="2"/>
  <c r="L75" i="2" s="1"/>
  <c r="O75" i="2"/>
  <c r="O67" i="2"/>
  <c r="K67" i="2"/>
  <c r="L67" i="2" s="1"/>
  <c r="O64" i="2"/>
  <c r="K64" i="2"/>
  <c r="L64" i="2" s="1"/>
  <c r="O56" i="2"/>
  <c r="K56" i="2"/>
  <c r="L56" i="2" s="1"/>
  <c r="O66" i="2"/>
  <c r="K66" i="2"/>
  <c r="L66" i="2" s="1"/>
  <c r="K63" i="2"/>
  <c r="L63" i="2" s="1"/>
  <c r="O63" i="2"/>
  <c r="O68" i="2"/>
  <c r="K68" i="2"/>
  <c r="L68" i="2" s="1"/>
  <c r="O95" i="2"/>
  <c r="K95" i="2"/>
  <c r="L95" i="2" s="1"/>
  <c r="K90" i="2"/>
  <c r="L90" i="2" s="1"/>
  <c r="M90" i="2"/>
  <c r="N90" i="2" s="1"/>
  <c r="O90" i="2"/>
  <c r="K27" i="2"/>
  <c r="L27" i="2" s="1"/>
  <c r="O27" i="2"/>
  <c r="O58" i="2"/>
  <c r="K58" i="2"/>
  <c r="L58" i="2" s="1"/>
  <c r="K94" i="2"/>
  <c r="L94" i="2" s="1"/>
  <c r="O94" i="2"/>
  <c r="M94" i="2"/>
  <c r="N94" i="2" s="1"/>
  <c r="O65" i="2"/>
  <c r="K65" i="2"/>
  <c r="K76" i="2"/>
  <c r="L76" i="2" s="1"/>
  <c r="O76" i="2"/>
  <c r="M66" i="2"/>
  <c r="N66" i="2" s="1"/>
  <c r="M58" i="2"/>
  <c r="N58" i="2" s="1"/>
  <c r="O93" i="2"/>
  <c r="K93" i="2"/>
  <c r="K72" i="2"/>
  <c r="L72" i="2" s="1"/>
  <c r="O72" i="2"/>
  <c r="O96" i="2"/>
  <c r="K96" i="2"/>
  <c r="M27" i="2"/>
  <c r="N27" i="2" s="1"/>
  <c r="M45" i="2"/>
  <c r="N45" i="2" s="1"/>
  <c r="O61" i="2"/>
  <c r="K61" i="2"/>
  <c r="K88" i="2"/>
  <c r="O88" i="2"/>
  <c r="O87" i="2"/>
  <c r="K87" i="2"/>
  <c r="O91" i="2"/>
  <c r="M91" i="2"/>
  <c r="N91" i="2" s="1"/>
  <c r="K91" i="2"/>
  <c r="L91" i="2" s="1"/>
  <c r="K80" i="2"/>
  <c r="O80" i="2"/>
  <c r="K81" i="2"/>
  <c r="L81" i="2" s="1"/>
  <c r="O81" i="2"/>
  <c r="M59" i="2"/>
  <c r="N59" i="2" s="1"/>
  <c r="M36" i="2"/>
  <c r="N36" i="2" s="1"/>
  <c r="M64" i="2"/>
  <c r="N64" i="2" s="1"/>
  <c r="M72" i="2"/>
  <c r="N72" i="2" s="1"/>
  <c r="M81" i="2"/>
  <c r="N81" i="2" s="1"/>
  <c r="M76" i="2"/>
  <c r="N76" i="2" s="1"/>
  <c r="L55" i="2"/>
  <c r="L52" i="2"/>
  <c r="M68" i="2"/>
  <c r="N68" i="2" s="1"/>
  <c r="M41" i="2"/>
  <c r="N41" i="2" s="1"/>
  <c r="L30" i="2"/>
  <c r="M30" i="2"/>
  <c r="N30" i="2" s="1"/>
  <c r="L35" i="2"/>
  <c r="M35" i="2"/>
  <c r="N35" i="2" s="1"/>
  <c r="M56" i="2"/>
  <c r="N56" i="2" s="1"/>
  <c r="M75" i="2"/>
  <c r="N75" i="2" s="1"/>
  <c r="M38" i="2"/>
  <c r="N38" i="2" s="1"/>
  <c r="L38" i="2"/>
  <c r="L49" i="2"/>
  <c r="M49" i="2"/>
  <c r="N49" i="2" s="1"/>
  <c r="L42" i="2"/>
  <c r="M42" i="2"/>
  <c r="N42" i="2" s="1"/>
  <c r="L93" i="2" l="1"/>
  <c r="R112" i="5"/>
  <c r="AA112" i="5" s="1"/>
  <c r="R101" i="5"/>
  <c r="AA101" i="5" s="1"/>
  <c r="R94" i="5"/>
  <c r="AA94" i="5" s="1"/>
  <c r="M39" i="2"/>
  <c r="N39" i="2" s="1"/>
  <c r="I53" i="2"/>
  <c r="R30" i="5"/>
  <c r="R76" i="5"/>
  <c r="AA76" i="5" s="1"/>
  <c r="R123" i="5"/>
  <c r="AA123" i="5" s="1"/>
  <c r="R31" i="5"/>
  <c r="I54" i="2"/>
  <c r="R65" i="5"/>
  <c r="AA65" i="5" s="1"/>
  <c r="L65" i="2"/>
  <c r="I88" i="2"/>
  <c r="R14" i="5"/>
  <c r="I37" i="2"/>
  <c r="V9" i="35"/>
  <c r="I32" i="2"/>
  <c r="R9" i="5"/>
  <c r="L61" i="2"/>
  <c r="L43" i="2"/>
  <c r="L96" i="2"/>
  <c r="I35" i="2"/>
  <c r="M74" i="2"/>
  <c r="N74" i="2" s="1"/>
  <c r="R114" i="5"/>
  <c r="AA114" i="5" s="1"/>
  <c r="R78" i="5"/>
  <c r="AA78" i="5" s="1"/>
  <c r="V75" i="35"/>
  <c r="R75" i="5"/>
  <c r="AA75" i="5" s="1"/>
  <c r="V27" i="35"/>
  <c r="R27" i="5"/>
  <c r="I50" i="2"/>
  <c r="V116" i="35"/>
  <c r="R116" i="5"/>
  <c r="AA116" i="5" s="1"/>
  <c r="V77" i="35"/>
  <c r="R77" i="5"/>
  <c r="AA77" i="5" s="1"/>
  <c r="V99" i="35"/>
  <c r="R99" i="5"/>
  <c r="AA99" i="5" s="1"/>
  <c r="V23" i="35"/>
  <c r="R23" i="5"/>
  <c r="I46" i="2"/>
  <c r="V72" i="35"/>
  <c r="I95" i="2"/>
  <c r="R72" i="5"/>
  <c r="AA72" i="5" s="1"/>
  <c r="V115" i="35"/>
  <c r="R115" i="5"/>
  <c r="AA115" i="5" s="1"/>
  <c r="V86" i="35"/>
  <c r="R86" i="5"/>
  <c r="AA86" i="5" s="1"/>
  <c r="V34" i="35"/>
  <c r="R34" i="5"/>
  <c r="I57" i="2"/>
  <c r="V91" i="35"/>
  <c r="R91" i="5"/>
  <c r="AA91" i="5" s="1"/>
  <c r="V121" i="35"/>
  <c r="R121" i="5"/>
  <c r="AA121" i="5" s="1"/>
  <c r="R80" i="5"/>
  <c r="AA80" i="5" s="1"/>
  <c r="V98" i="35"/>
  <c r="R98" i="5"/>
  <c r="AA98" i="5" s="1"/>
  <c r="V18" i="35"/>
  <c r="I41" i="2"/>
  <c r="R18" i="5"/>
  <c r="V40" i="35"/>
  <c r="R40" i="5"/>
  <c r="I63" i="2"/>
  <c r="V88" i="35"/>
  <c r="R88" i="5"/>
  <c r="AA88" i="5" s="1"/>
  <c r="V21" i="35"/>
  <c r="I44" i="2"/>
  <c r="R21" i="5"/>
  <c r="V16" i="35"/>
  <c r="R16" i="5"/>
  <c r="I39" i="2"/>
  <c r="V43" i="35"/>
  <c r="I66" i="2"/>
  <c r="V87" i="35"/>
  <c r="R87" i="5"/>
  <c r="AA87" i="5" s="1"/>
  <c r="V37" i="35"/>
  <c r="I60" i="2"/>
  <c r="R37" i="5"/>
  <c r="V10" i="35"/>
  <c r="I33" i="2"/>
  <c r="R10" i="5"/>
  <c r="V56" i="35"/>
  <c r="R56" i="5"/>
  <c r="AA56" i="5" s="1"/>
  <c r="I79" i="2"/>
  <c r="V60" i="35"/>
  <c r="I83" i="2"/>
  <c r="V32" i="35"/>
  <c r="I55" i="2"/>
  <c r="V83" i="35"/>
  <c r="R83" i="5"/>
  <c r="AA83" i="5" s="1"/>
  <c r="V15" i="35"/>
  <c r="I38" i="2"/>
  <c r="R15" i="5"/>
  <c r="V62" i="35"/>
  <c r="R62" i="5"/>
  <c r="AA62" i="5" s="1"/>
  <c r="I85" i="2"/>
  <c r="V89" i="35"/>
  <c r="R89" i="5"/>
  <c r="AA89" i="5" s="1"/>
  <c r="R43" i="5"/>
  <c r="R107" i="5"/>
  <c r="AA107" i="5" s="1"/>
  <c r="V106" i="35"/>
  <c r="R106" i="5"/>
  <c r="AA106" i="5" s="1"/>
  <c r="V69" i="35"/>
  <c r="I92" i="2"/>
  <c r="V33" i="35"/>
  <c r="I56" i="2"/>
  <c r="R33" i="5"/>
  <c r="V105" i="35"/>
  <c r="R105" i="5"/>
  <c r="AA105" i="5" s="1"/>
  <c r="V29" i="35"/>
  <c r="I52" i="2"/>
  <c r="R29" i="5"/>
  <c r="V118" i="35"/>
  <c r="R118" i="5"/>
  <c r="AA118" i="5" s="1"/>
  <c r="V44" i="35"/>
  <c r="I67" i="2"/>
  <c r="R44" i="5"/>
  <c r="V82" i="35"/>
  <c r="R82" i="5"/>
  <c r="AA82" i="5" s="1"/>
  <c r="V84" i="35"/>
  <c r="R84" i="5"/>
  <c r="AA84" i="5" s="1"/>
  <c r="V93" i="35"/>
  <c r="R93" i="5"/>
  <c r="AA93" i="5" s="1"/>
  <c r="V110" i="35"/>
  <c r="R110" i="5"/>
  <c r="AA110" i="5" s="1"/>
  <c r="V85" i="35"/>
  <c r="R85" i="5"/>
  <c r="AA85" i="5" s="1"/>
  <c r="V100" i="35"/>
  <c r="R100" i="5"/>
  <c r="AA100" i="5" s="1"/>
  <c r="V113" i="35"/>
  <c r="R113" i="5"/>
  <c r="AA113" i="5" s="1"/>
  <c r="R32" i="5"/>
  <c r="R60" i="5"/>
  <c r="AA60" i="5" s="1"/>
  <c r="V26" i="35"/>
  <c r="I49" i="2"/>
  <c r="R26" i="5"/>
  <c r="V97" i="35"/>
  <c r="R97" i="5"/>
  <c r="AA97" i="5" s="1"/>
  <c r="V71" i="35"/>
  <c r="I94" i="2"/>
  <c r="R71" i="5"/>
  <c r="AA71" i="5" s="1"/>
  <c r="V24" i="35"/>
  <c r="R24" i="5"/>
  <c r="I47" i="2"/>
  <c r="V79" i="35"/>
  <c r="R79" i="5"/>
  <c r="AA79" i="5" s="1"/>
  <c r="V49" i="35"/>
  <c r="I72" i="2"/>
  <c r="R49" i="5"/>
  <c r="V54" i="35"/>
  <c r="I77" i="2"/>
  <c r="R54" i="5"/>
  <c r="AA54" i="5" s="1"/>
  <c r="V36" i="35"/>
  <c r="I59" i="2"/>
  <c r="R36" i="5"/>
  <c r="V11" i="35"/>
  <c r="I34" i="2"/>
  <c r="R11" i="5"/>
  <c r="V63" i="35"/>
  <c r="I86" i="2"/>
  <c r="R63" i="5"/>
  <c r="AA63" i="5" s="1"/>
  <c r="V19" i="35"/>
  <c r="I42" i="2"/>
  <c r="R19" i="5"/>
  <c r="V22" i="35"/>
  <c r="I45" i="2"/>
  <c r="R22" i="5"/>
  <c r="V41" i="35"/>
  <c r="I64" i="2"/>
  <c r="R41" i="5"/>
  <c r="V35" i="35"/>
  <c r="I58" i="2"/>
  <c r="V52" i="35"/>
  <c r="I75" i="2"/>
  <c r="R52" i="5"/>
  <c r="AA52" i="5" s="1"/>
  <c r="V25" i="35"/>
  <c r="I48" i="2"/>
  <c r="R25" i="5"/>
  <c r="V96" i="35"/>
  <c r="R96" i="5"/>
  <c r="AA96" i="5" s="1"/>
  <c r="V119" i="35"/>
  <c r="R119" i="5"/>
  <c r="AA119" i="5" s="1"/>
  <c r="R12" i="5"/>
  <c r="R108" i="5"/>
  <c r="AA108" i="5" s="1"/>
  <c r="I93" i="2"/>
  <c r="V70" i="35"/>
  <c r="R103" i="5"/>
  <c r="AA103" i="5" s="1"/>
  <c r="V103" i="35"/>
  <c r="R39" i="5"/>
  <c r="V39" i="35"/>
  <c r="R92" i="5"/>
  <c r="AA92" i="5" s="1"/>
  <c r="V92" i="35"/>
  <c r="R68" i="5"/>
  <c r="AA68" i="5" s="1"/>
  <c r="V68" i="35"/>
  <c r="R51" i="5"/>
  <c r="V51" i="35"/>
  <c r="R104" i="5"/>
  <c r="AA104" i="5" s="1"/>
  <c r="V104" i="35"/>
  <c r="R90" i="5"/>
  <c r="AA90" i="5" s="1"/>
  <c r="V90" i="35"/>
  <c r="R120" i="5"/>
  <c r="AA120" i="5" s="1"/>
  <c r="V120" i="35"/>
  <c r="R81" i="5"/>
  <c r="AA81" i="5" s="1"/>
  <c r="V81" i="35"/>
  <c r="R109" i="5"/>
  <c r="AA109" i="5" s="1"/>
  <c r="V109" i="35"/>
  <c r="I73" i="2"/>
  <c r="V50" i="35"/>
  <c r="I71" i="2"/>
  <c r="V48" i="35"/>
  <c r="R45" i="5"/>
  <c r="V45" i="35"/>
  <c r="R122" i="5"/>
  <c r="AA122" i="5" s="1"/>
  <c r="V122" i="35"/>
  <c r="R47" i="5"/>
  <c r="V47" i="35"/>
  <c r="R55" i="5"/>
  <c r="AA55" i="5" s="1"/>
  <c r="V55" i="35"/>
  <c r="R53" i="5"/>
  <c r="AA53" i="5" s="1"/>
  <c r="V53" i="35"/>
  <c r="R102" i="5"/>
  <c r="AA102" i="5" s="1"/>
  <c r="V102" i="35"/>
  <c r="I80" i="2"/>
  <c r="V57" i="35"/>
  <c r="R67" i="5"/>
  <c r="AA67" i="5" s="1"/>
  <c r="V67" i="35"/>
  <c r="R38" i="5"/>
  <c r="V38" i="35"/>
  <c r="R73" i="5"/>
  <c r="AA73" i="5" s="1"/>
  <c r="V73" i="35"/>
  <c r="I87" i="2"/>
  <c r="V64" i="35"/>
  <c r="R74" i="5"/>
  <c r="AA74" i="5" s="1"/>
  <c r="V74" i="35"/>
  <c r="I89" i="2"/>
  <c r="V66" i="35"/>
  <c r="I43" i="2"/>
  <c r="V20" i="35"/>
  <c r="I82" i="2"/>
  <c r="V59" i="35"/>
  <c r="R111" i="5"/>
  <c r="AA111" i="5" s="1"/>
  <c r="V111" i="35"/>
  <c r="R28" i="5"/>
  <c r="V28" i="35"/>
  <c r="R61" i="5"/>
  <c r="AA61" i="5" s="1"/>
  <c r="V61" i="35"/>
  <c r="R117" i="5"/>
  <c r="AA117" i="5" s="1"/>
  <c r="V117" i="35"/>
  <c r="R58" i="5"/>
  <c r="AA58" i="5" s="1"/>
  <c r="V58" i="35"/>
  <c r="R42" i="5"/>
  <c r="V42" i="35"/>
  <c r="M51" i="2"/>
  <c r="N51" i="2" s="1"/>
  <c r="L78" i="2"/>
  <c r="L28" i="2"/>
  <c r="M31" i="2"/>
  <c r="N31" i="2" s="1"/>
  <c r="M29" i="2"/>
  <c r="N29" i="2" s="1"/>
  <c r="M37" i="2"/>
  <c r="N37" i="2" s="1"/>
  <c r="M54" i="2"/>
  <c r="N54" i="2" s="1"/>
  <c r="L80" i="2"/>
  <c r="L62" i="2"/>
  <c r="L87" i="2"/>
  <c r="M82" i="2"/>
  <c r="N82" i="2" s="1"/>
  <c r="L88" i="2"/>
  <c r="L89" i="2"/>
  <c r="L70" i="2"/>
  <c r="M69" i="2"/>
  <c r="N69" i="2" s="1"/>
  <c r="L69" i="2"/>
  <c r="I40" i="2"/>
  <c r="R17" i="5"/>
  <c r="R46" i="5"/>
  <c r="I69" i="2"/>
  <c r="L40" i="2"/>
  <c r="M40" i="2"/>
  <c r="N40" i="2" s="1"/>
  <c r="O73" i="2"/>
  <c r="K73" i="2"/>
  <c r="L73" i="2" s="1"/>
  <c r="M73" i="2"/>
  <c r="N73" i="2" s="1"/>
  <c r="O124" i="2"/>
  <c r="K124" i="2"/>
  <c r="L124" i="2" s="1"/>
  <c r="M124" i="2"/>
  <c r="N124" i="2" s="1"/>
  <c r="K118" i="2"/>
  <c r="L118" i="2" s="1"/>
  <c r="M118" i="2"/>
  <c r="N118" i="2" s="1"/>
  <c r="M137" i="2"/>
  <c r="N137" i="2" s="1"/>
  <c r="K137" i="2"/>
  <c r="L137" i="2" s="1"/>
  <c r="O137" i="2"/>
  <c r="M135" i="2"/>
  <c r="N135" i="2" s="1"/>
  <c r="O135" i="2"/>
  <c r="K135" i="2"/>
  <c r="L135" i="2" s="1"/>
  <c r="M71" i="2"/>
  <c r="N71" i="2" s="1"/>
  <c r="K71" i="2"/>
  <c r="L71" i="2" s="1"/>
  <c r="O71" i="2"/>
  <c r="M117" i="2"/>
  <c r="N117" i="2" s="1"/>
  <c r="K117" i="2"/>
  <c r="L117" i="2" s="1"/>
  <c r="M53" i="2"/>
  <c r="N53" i="2" s="1"/>
  <c r="K53" i="2"/>
  <c r="L53" i="2" s="1"/>
  <c r="M146" i="2"/>
  <c r="N146" i="2" s="1"/>
  <c r="K146" i="2"/>
  <c r="L146" i="2" s="1"/>
  <c r="O82" i="2"/>
  <c r="K82" i="2"/>
  <c r="L82" i="2" s="1"/>
  <c r="O99" i="2"/>
  <c r="M99" i="2"/>
  <c r="N99" i="2" s="1"/>
  <c r="K99" i="2"/>
  <c r="L99" i="2" s="1"/>
  <c r="B10" i="2" l="1"/>
  <c r="B27" i="2" l="1"/>
  <c r="B15" i="2" l="1"/>
  <c r="X3" i="5"/>
  <c r="Z50" i="5" l="1"/>
  <c r="X48" i="5"/>
  <c r="Y47" i="5"/>
  <c r="AA45" i="5"/>
  <c r="W44" i="5"/>
  <c r="Z42" i="5"/>
  <c r="X40" i="5"/>
  <c r="Y39" i="5"/>
  <c r="AA37" i="5"/>
  <c r="W36" i="5"/>
  <c r="Z34" i="5"/>
  <c r="X32" i="5"/>
  <c r="Y31" i="5"/>
  <c r="AA29" i="5"/>
  <c r="W28" i="5"/>
  <c r="Z26" i="5"/>
  <c r="X24" i="5"/>
  <c r="Y23" i="5"/>
  <c r="AA21" i="5"/>
  <c r="W20" i="5"/>
  <c r="Z18" i="5"/>
  <c r="X16" i="5"/>
  <c r="Y15" i="5"/>
  <c r="AA13" i="5"/>
  <c r="W12" i="5"/>
  <c r="Z10" i="5"/>
  <c r="X8" i="5"/>
  <c r="Y7" i="5"/>
  <c r="AA5" i="5"/>
  <c r="W4" i="5"/>
  <c r="Z5" i="5"/>
  <c r="W22" i="5"/>
  <c r="Z12" i="5"/>
  <c r="AA50" i="5"/>
  <c r="AA42" i="5"/>
  <c r="AA34" i="5"/>
  <c r="AA26" i="5"/>
  <c r="AA18" i="5"/>
  <c r="AA10" i="5"/>
  <c r="X5" i="5"/>
  <c r="X51" i="5"/>
  <c r="Y50" i="5"/>
  <c r="AA48" i="5"/>
  <c r="W47" i="5"/>
  <c r="Z45" i="5"/>
  <c r="X43" i="5"/>
  <c r="Y42" i="5"/>
  <c r="AA40" i="5"/>
  <c r="W39" i="5"/>
  <c r="Z37" i="5"/>
  <c r="X35" i="5"/>
  <c r="Y34" i="5"/>
  <c r="AA32" i="5"/>
  <c r="W31" i="5"/>
  <c r="Z29" i="5"/>
  <c r="X27" i="5"/>
  <c r="Y26" i="5"/>
  <c r="AA24" i="5"/>
  <c r="W23" i="5"/>
  <c r="Z21" i="5"/>
  <c r="X19" i="5"/>
  <c r="Y18" i="5"/>
  <c r="AA16" i="5"/>
  <c r="W15" i="5"/>
  <c r="Z13" i="5"/>
  <c r="X11" i="5"/>
  <c r="Y10" i="5"/>
  <c r="AA8" i="5"/>
  <c r="W7" i="5"/>
  <c r="AA22" i="5"/>
  <c r="Z19" i="5"/>
  <c r="Y16" i="5"/>
  <c r="W13" i="5"/>
  <c r="Y8" i="5"/>
  <c r="W5" i="5"/>
  <c r="Z36" i="5"/>
  <c r="Z28" i="5"/>
  <c r="Z20" i="5"/>
  <c r="W14" i="5"/>
  <c r="W6" i="5"/>
  <c r="X45" i="5"/>
  <c r="X37" i="5"/>
  <c r="X29" i="5"/>
  <c r="X21" i="5"/>
  <c r="X13" i="5"/>
  <c r="AA51" i="5"/>
  <c r="W50" i="5"/>
  <c r="Z48" i="5"/>
  <c r="X46" i="5"/>
  <c r="Y45" i="5"/>
  <c r="AA43" i="5"/>
  <c r="W42" i="5"/>
  <c r="Z40" i="5"/>
  <c r="X38" i="5"/>
  <c r="Y37" i="5"/>
  <c r="AA35" i="5"/>
  <c r="W34" i="5"/>
  <c r="Z32" i="5"/>
  <c r="X30" i="5"/>
  <c r="Y29" i="5"/>
  <c r="AA27" i="5"/>
  <c r="W26" i="5"/>
  <c r="Z24" i="5"/>
  <c r="X22" i="5"/>
  <c r="Y21" i="5"/>
  <c r="AA19" i="5"/>
  <c r="W18" i="5"/>
  <c r="Z16" i="5"/>
  <c r="X14" i="5"/>
  <c r="Y13" i="5"/>
  <c r="AA11" i="5"/>
  <c r="W10" i="5"/>
  <c r="Z8" i="5"/>
  <c r="X6" i="5"/>
  <c r="Z51" i="5"/>
  <c r="X49" i="5"/>
  <c r="Y48" i="5"/>
  <c r="AA46" i="5"/>
  <c r="W45" i="5"/>
  <c r="Z43" i="5"/>
  <c r="X41" i="5"/>
  <c r="Y40" i="5"/>
  <c r="AA38" i="5"/>
  <c r="W37" i="5"/>
  <c r="Z35" i="5"/>
  <c r="X33" i="5"/>
  <c r="Y32" i="5"/>
  <c r="AA30" i="5"/>
  <c r="W29" i="5"/>
  <c r="Z27" i="5"/>
  <c r="X25" i="5"/>
  <c r="Y24" i="5"/>
  <c r="W21" i="5"/>
  <c r="X17" i="5"/>
  <c r="AA14" i="5"/>
  <c r="Z11" i="5"/>
  <c r="X9" i="5"/>
  <c r="AA6" i="5"/>
  <c r="X26" i="5"/>
  <c r="X18" i="5"/>
  <c r="X10" i="5"/>
  <c r="Z4" i="5"/>
  <c r="Y44" i="5"/>
  <c r="Y36" i="5"/>
  <c r="Y28" i="5"/>
  <c r="Y20" i="5"/>
  <c r="Y12" i="5"/>
  <c r="Y51" i="5"/>
  <c r="AA49" i="5"/>
  <c r="W48" i="5"/>
  <c r="Z46" i="5"/>
  <c r="X44" i="5"/>
  <c r="Y43" i="5"/>
  <c r="AA41" i="5"/>
  <c r="W40" i="5"/>
  <c r="Z38" i="5"/>
  <c r="X36" i="5"/>
  <c r="Y35" i="5"/>
  <c r="AA33" i="5"/>
  <c r="W32" i="5"/>
  <c r="Z30" i="5"/>
  <c r="X28" i="5"/>
  <c r="Y27" i="5"/>
  <c r="AA25" i="5"/>
  <c r="W24" i="5"/>
  <c r="Z22" i="5"/>
  <c r="X20" i="5"/>
  <c r="Y19" i="5"/>
  <c r="AA17" i="5"/>
  <c r="W16" i="5"/>
  <c r="Z14" i="5"/>
  <c r="X12" i="5"/>
  <c r="Y11" i="5"/>
  <c r="AA9" i="5"/>
  <c r="W8" i="5"/>
  <c r="Z6" i="5"/>
  <c r="X4" i="5"/>
  <c r="Y6" i="5"/>
  <c r="X50" i="5"/>
  <c r="AA47" i="5"/>
  <c r="X42" i="5"/>
  <c r="AA39" i="5"/>
  <c r="Y33" i="5"/>
  <c r="W30" i="5"/>
  <c r="AA23" i="5"/>
  <c r="AA15" i="5"/>
  <c r="AA7" i="5"/>
  <c r="Z47" i="5"/>
  <c r="Z39" i="5"/>
  <c r="Z31" i="5"/>
  <c r="Z23" i="5"/>
  <c r="Z15" i="5"/>
  <c r="Z7" i="5"/>
  <c r="W51" i="5"/>
  <c r="Z49" i="5"/>
  <c r="X47" i="5"/>
  <c r="Y46" i="5"/>
  <c r="AA44" i="5"/>
  <c r="W43" i="5"/>
  <c r="Z41" i="5"/>
  <c r="X39" i="5"/>
  <c r="Y38" i="5"/>
  <c r="AA36" i="5"/>
  <c r="W35" i="5"/>
  <c r="Z33" i="5"/>
  <c r="X31" i="5"/>
  <c r="Y30" i="5"/>
  <c r="AA28" i="5"/>
  <c r="W27" i="5"/>
  <c r="Z25" i="5"/>
  <c r="X23" i="5"/>
  <c r="Y22" i="5"/>
  <c r="AA20" i="5"/>
  <c r="W19" i="5"/>
  <c r="Z17" i="5"/>
  <c r="X15" i="5"/>
  <c r="Y14" i="5"/>
  <c r="AA12" i="5"/>
  <c r="W11" i="5"/>
  <c r="Z9" i="5"/>
  <c r="X7" i="5"/>
  <c r="AA4" i="5"/>
  <c r="Y49" i="5"/>
  <c r="W46" i="5"/>
  <c r="Z44" i="5"/>
  <c r="Y41" i="5"/>
  <c r="W38" i="5"/>
  <c r="X34" i="5"/>
  <c r="AA31" i="5"/>
  <c r="Y25" i="5"/>
  <c r="Y17" i="5"/>
  <c r="Y9" i="5"/>
  <c r="W49" i="5"/>
  <c r="W41" i="5"/>
  <c r="W33" i="5"/>
  <c r="W25" i="5"/>
  <c r="W17" i="5"/>
  <c r="W9" i="5"/>
  <c r="O30" i="2"/>
  <c r="O119" i="2"/>
  <c r="O111" i="2"/>
  <c r="O54" i="2"/>
  <c r="O46" i="2"/>
  <c r="O38" i="2"/>
  <c r="O121" i="2"/>
  <c r="O113" i="2"/>
  <c r="O105" i="2"/>
  <c r="O48" i="2"/>
  <c r="O40" i="2"/>
  <c r="O32" i="2"/>
  <c r="O118" i="2"/>
  <c r="O110" i="2"/>
  <c r="O53" i="2"/>
  <c r="O146" i="2"/>
  <c r="O120" i="2"/>
  <c r="O112" i="2"/>
  <c r="O55" i="2"/>
  <c r="O47" i="2"/>
  <c r="O39" i="2"/>
  <c r="O31" i="2"/>
  <c r="O117" i="2"/>
  <c r="O109" i="2"/>
  <c r="O52" i="2"/>
  <c r="O44" i="2"/>
  <c r="O36" i="2"/>
  <c r="O28" i="2"/>
  <c r="O122" i="2"/>
  <c r="O114" i="2"/>
  <c r="O106" i="2"/>
  <c r="O49" i="2"/>
  <c r="O41" i="2"/>
  <c r="O33" i="2"/>
  <c r="O108" i="2"/>
  <c r="O29" i="2"/>
  <c r="O116" i="2"/>
  <c r="O50" i="2"/>
  <c r="O107" i="2"/>
  <c r="O42" i="2"/>
  <c r="O34" i="2"/>
  <c r="O115" i="2"/>
  <c r="O35" i="2"/>
  <c r="O51" i="2"/>
  <c r="O45" i="2"/>
  <c r="O43" i="2"/>
  <c r="O37" i="2"/>
  <c r="M4" i="5" l="1"/>
  <c r="U4" i="5" s="1"/>
  <c r="U14" i="5"/>
  <c r="V22" i="5"/>
  <c r="U21" i="5"/>
  <c r="V33" i="5"/>
  <c r="V46" i="5"/>
  <c r="U23" i="5"/>
  <c r="U26" i="5"/>
  <c r="V21" i="5"/>
  <c r="U49" i="5"/>
  <c r="U13" i="5"/>
  <c r="V23" i="5"/>
  <c r="V32" i="5"/>
  <c r="U48" i="5"/>
  <c r="U51" i="5"/>
  <c r="U39" i="5"/>
  <c r="V40" i="5"/>
  <c r="U17" i="5"/>
  <c r="U29" i="5"/>
  <c r="V42" i="5"/>
  <c r="V51" i="5"/>
  <c r="U15" i="5"/>
  <c r="U22" i="5"/>
  <c r="U45" i="5"/>
  <c r="U9" i="5"/>
  <c r="V28" i="5"/>
  <c r="U40" i="5"/>
  <c r="U35" i="5"/>
  <c r="V41" i="5"/>
  <c r="U30" i="5"/>
  <c r="V38" i="5"/>
  <c r="V39" i="5"/>
  <c r="U50" i="5"/>
  <c r="U18" i="5"/>
  <c r="U41" i="5"/>
  <c r="U5" i="5"/>
  <c r="U47" i="5"/>
  <c r="V24" i="5"/>
  <c r="U36" i="5"/>
  <c r="U27" i="5"/>
  <c r="V25" i="5"/>
  <c r="V19" i="5"/>
  <c r="U20" i="5"/>
  <c r="U12" i="5"/>
  <c r="V34" i="5"/>
  <c r="V45" i="5"/>
  <c r="V27" i="5"/>
  <c r="U46" i="5"/>
  <c r="V49" i="5"/>
  <c r="U37" i="5"/>
  <c r="U44" i="5"/>
  <c r="U11" i="5"/>
  <c r="V20" i="5"/>
  <c r="U32" i="5"/>
  <c r="U19" i="5"/>
  <c r="U34" i="5"/>
  <c r="U31" i="5"/>
  <c r="V36" i="5"/>
  <c r="V37" i="5"/>
  <c r="U42" i="5"/>
  <c r="U10" i="5"/>
  <c r="V43" i="5"/>
  <c r="U33" i="5"/>
  <c r="U16" i="5"/>
  <c r="V48" i="5"/>
  <c r="U28" i="5"/>
  <c r="U7" i="5"/>
  <c r="V47" i="5"/>
  <c r="V18" i="5"/>
  <c r="V35" i="5"/>
  <c r="V30" i="5"/>
  <c r="V26" i="5"/>
  <c r="V29" i="5"/>
  <c r="U43" i="5"/>
  <c r="U38" i="5"/>
  <c r="U6" i="5"/>
  <c r="V31" i="5"/>
  <c r="U25" i="5"/>
  <c r="U8" i="5"/>
  <c r="V44" i="5"/>
  <c r="U24" i="5"/>
  <c r="V50" i="5"/>
  <c r="H4" i="5" l="1" a="1"/>
  <c r="H4" i="5" s="1"/>
  <c r="E4" i="5" a="1"/>
  <c r="E4" i="5" s="1"/>
  <c r="C4" i="5" a="1"/>
  <c r="C4" i="5" s="1"/>
  <c r="K4" i="5" l="1" a="1"/>
  <c r="K4" i="5" s="1"/>
  <c r="F4" i="5" l="1" a="1"/>
  <c r="F4" i="5" s="1"/>
  <c r="G4" i="5" l="1" a="1"/>
  <c r="J4" i="5" a="1"/>
  <c r="J4" i="5" s="1"/>
  <c r="G4" i="5" l="1"/>
  <c r="I4" i="5" a="1"/>
  <c r="I4" i="5" s="1"/>
  <c r="V5" i="5" l="1"/>
  <c r="V4" i="5"/>
  <c r="V7" i="5" l="1"/>
  <c r="V6" i="5"/>
  <c r="V8" i="5" l="1"/>
  <c r="V9" i="5" l="1"/>
  <c r="V10" i="5" l="1"/>
  <c r="V11" i="5" l="1"/>
  <c r="V12" i="5" l="1"/>
  <c r="V13" i="5" l="1"/>
  <c r="V14" i="5" l="1"/>
  <c r="V15" i="5" l="1"/>
  <c r="V16" i="5" l="1"/>
  <c r="V17" i="5" l="1"/>
  <c r="D4" i="5" a="1"/>
  <c r="D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<sst xmlns="http://schemas.openxmlformats.org/spreadsheetml/2006/main" count="6104" uniqueCount="668">
  <si>
    <t>December 2024</t>
  </si>
  <si>
    <t>Corporate &amp; Sovereign Debt Indices</t>
  </si>
  <si>
    <r>
      <rPr>
        <b/>
        <sz val="14"/>
        <color theme="1"/>
        <rFont val="Arial"/>
        <family val="2"/>
      </rPr>
      <t xml:space="preserve">
Contents:</t>
    </r>
    <r>
      <rPr>
        <b/>
        <sz val="12"/>
        <color theme="1"/>
        <rFont val="Arial"/>
        <family val="2"/>
      </rPr>
      <t xml:space="preserve">
</t>
    </r>
    <r>
      <rPr>
        <b/>
        <sz val="12"/>
        <color rgb="FFC00000"/>
        <rFont val="Arial"/>
        <family val="2"/>
      </rPr>
      <t xml:space="preserve">I. Consideration of ESG Factors:   </t>
    </r>
    <r>
      <rPr>
        <i/>
        <sz val="12"/>
        <color rgb="FFC00000"/>
        <rFont val="Arial"/>
        <family val="2"/>
      </rPr>
      <t>I. ESG Factors Report - FI (1-3)</t>
    </r>
    <r>
      <rPr>
        <i/>
        <sz val="12"/>
        <color theme="1"/>
        <rFont val="Arial"/>
        <family val="2"/>
      </rPr>
      <t xml:space="preserve">
</t>
    </r>
    <r>
      <rPr>
        <sz val="12"/>
        <color theme="1"/>
        <rFont val="Arial"/>
        <family val="2"/>
      </rPr>
      <t>Delegated Regulation 2020/1816 specifies ESG metrics to be disclosed for ‘equity’, ‘fixed income’, ‘sovereign debt’, ‘commodity’ and ‘other’ asset class indices. The information disclosed in this section relates to the components of the Paris-Aligned or Climate Transition index that are minimum requirements for EU Paris-Aligned Benchmarks ('EU PAB') or Climate Transition Benchmarks ('EU CTB'), as defined by Regulation (EU) 2019/2089 of the European Parliament and of the Council of 27 November 2019 amending Regulation (EU) 2016/1011 as regards EU Climate Transition Benchmarks, EU Paris-aligned Benchmarks and sustainability-related disclosures for benchmarks ('the Regulation' hereafter).</t>
    </r>
  </si>
  <si>
    <r>
      <rPr>
        <b/>
        <sz val="12"/>
        <color rgb="FFC00000"/>
        <rFont val="Arial"/>
        <family val="2"/>
      </rPr>
      <t xml:space="preserve">II. Additional Disclosure Requirements for EU CTBs and EU PABs:   </t>
    </r>
    <r>
      <rPr>
        <i/>
        <sz val="12"/>
        <color rgb="FFC00000"/>
        <rFont val="Arial"/>
        <family val="2"/>
      </rPr>
      <t>II. EU CTB &amp; PAB Report</t>
    </r>
    <r>
      <rPr>
        <b/>
        <sz val="12"/>
        <color theme="1"/>
        <rFont val="Arial"/>
        <family val="2"/>
      </rPr>
      <t xml:space="preserve">
</t>
    </r>
    <r>
      <rPr>
        <sz val="12"/>
        <color theme="1"/>
        <rFont val="Arial"/>
        <family val="2"/>
      </rPr>
      <t>Additional index-level metrics for EU CTBs and EU PABs as required by Section 2 of Annex I Regulation (EU) 2020/1816</t>
    </r>
  </si>
  <si>
    <t>To learn more about the EU Low Carbon Benchmark Regulation as it relates to S&amp;P DJI, please refer to the following resources:</t>
  </si>
  <si>
    <t>Frequently Asked Questions: EU Low Carbon Benchmark Regulation</t>
  </si>
  <si>
    <t>Frequently Asked Questions S&amp;P DJI’s Approach to the EU Low Carbon Benchmark Regulation Disclosure Requirements</t>
  </si>
  <si>
    <t>https://eur-lex.europa.eu/legal-content/EN/TXT/?uri=CELEX:32020R1816</t>
  </si>
  <si>
    <t>https://eur-lex.europa.eu/legal-content/EN/TXT/?uri=CELEX:32019R2089</t>
  </si>
  <si>
    <t>I. Consideration of ESG Factors Metrics</t>
  </si>
  <si>
    <t>Methodology:</t>
  </si>
  <si>
    <t>Index:</t>
  </si>
  <si>
    <t>iBoxx Global Government Overall ESG Tilted Weight Capped</t>
  </si>
  <si>
    <t>Index Effective Date:</t>
  </si>
  <si>
    <r>
      <t>Key</t>
    </r>
    <r>
      <rPr>
        <sz val="11"/>
        <color theme="1"/>
        <rFont val="Arial"/>
        <family val="2"/>
      </rPr>
      <t>:</t>
    </r>
  </si>
  <si>
    <t xml:space="preserve">F.I.   </t>
  </si>
  <si>
    <t xml:space="preserve">Sov.   </t>
  </si>
  <si>
    <t>Index Constituent Count:</t>
  </si>
  <si>
    <t>Index Weight:</t>
  </si>
  <si>
    <t>Corporates, Collateralized, or Sub-Sovereign Debt:</t>
  </si>
  <si>
    <t>Sovereign Debt:</t>
  </si>
  <si>
    <t>Metric Data Source:</t>
  </si>
  <si>
    <t>Combined ESG Factors</t>
  </si>
  <si>
    <t>Metric 
Asset Class</t>
  </si>
  <si>
    <t>Index-level Metric Measure</t>
  </si>
  <si>
    <t>S&amp;P DJI Metric</t>
  </si>
  <si>
    <t>S&amp;P DJI Metric Description</t>
  </si>
  <si>
    <t>F.I. / Sov. (ESG)</t>
  </si>
  <si>
    <t>Weighted average ESG rating of the benchmark (voluntary).</t>
  </si>
  <si>
    <t>Weighted-Average ESG Score</t>
  </si>
  <si>
    <r>
      <rPr>
        <b/>
        <u/>
        <sz val="10"/>
        <color theme="1"/>
        <rFont val="Arial"/>
        <family val="2"/>
      </rPr>
      <t>Dataset Coverage:</t>
    </r>
    <r>
      <rPr>
        <i/>
        <sz val="10"/>
        <color theme="1"/>
        <rFont val="Arial"/>
        <family val="2"/>
      </rPr>
      <t xml:space="preserve">    Constituent Count:</t>
    </r>
  </si>
  <si>
    <t>Index Weight (%):</t>
  </si>
  <si>
    <t>F.I. / Sov. (Env.)</t>
  </si>
  <si>
    <t>Weighted average environmental rating of the benchmark (voluntary).</t>
  </si>
  <si>
    <t>Weighted-Average Environmental Score</t>
  </si>
  <si>
    <t>F.I. / Sov. (Soc.)</t>
  </si>
  <si>
    <t>Weighted average social rating of the benchmark (voluntary).</t>
  </si>
  <si>
    <t>Weighted-Average Social Score</t>
  </si>
  <si>
    <t>F.I. / Sov. (Gov.)</t>
  </si>
  <si>
    <t>Weighted average governance rating of the benchmark (voluntary).</t>
  </si>
  <si>
    <t>Weighted-Average Governance Score</t>
  </si>
  <si>
    <t>Environmental Factors</t>
  </si>
  <si>
    <t>F.I. (Env.)</t>
  </si>
  <si>
    <t>Degree of exposure of the portfolio to the sectors listed in Sections A to H and Section L of Annex I to Regulation (EC) No 1893/2006 of the European Parliament and of the Council as a percentage of the total weight in the portfolio.</t>
  </si>
  <si>
    <r>
      <t xml:space="preserve">High Climate Impact NACE Sector Exposure 
</t>
    </r>
    <r>
      <rPr>
        <sz val="10"/>
        <color theme="1"/>
        <rFont val="Arial"/>
        <family val="2"/>
      </rPr>
      <t>(Index Weight, %)</t>
    </r>
  </si>
  <si>
    <t>The ‘High Climate Impact NACE Sector Exposure’ is the summed index weight of index constituents that are classified into NACE Sections A to H or Section L.</t>
  </si>
  <si>
    <t>Greenhouse gas (GHG) intensity of the benchmark.</t>
  </si>
  <si>
    <t xml:space="preserve">Carbon-to-Value Footprint 
</t>
  </si>
  <si>
    <t>Percentage of GHG emissions reported versus estimated.</t>
  </si>
  <si>
    <t>GHG Emissions Disclosed:</t>
  </si>
  <si>
    <t>The index weight of constituents that sufficiently disclose their greenhouse gas emissions.</t>
  </si>
  <si>
    <t>GHG Emissions Not Disclosed:</t>
  </si>
  <si>
    <t>The index weight of constituents whose greenhouse gas emissions are modeled.</t>
  </si>
  <si>
    <r>
      <t xml:space="preserve">GHG Emissions Not Covered:
</t>
    </r>
    <r>
      <rPr>
        <sz val="10"/>
        <color theme="1"/>
        <rFont val="Arial"/>
        <family val="2"/>
      </rPr>
      <t>(Index Weight, %)</t>
    </r>
  </si>
  <si>
    <t>The index weight of constituents without greenhouse gas emissions data (disclosed or modeled).</t>
  </si>
  <si>
    <t>Exposure of the benchmark portfolio to companies the activities of which fall under Divisions 05 to 09, 19 and 20 of Annex I to Regulation (EC) No 1893/2006.</t>
  </si>
  <si>
    <r>
      <t xml:space="preserve">High Emitting Sector Exposure 
</t>
    </r>
    <r>
      <rPr>
        <sz val="10"/>
        <rFont val="Arial"/>
        <family val="2"/>
      </rPr>
      <t>(Index Weight, %)</t>
    </r>
  </si>
  <si>
    <t>The ‘High Emitting Sector Exposure’ is the summed index weight of index constituents that are classified into NACE Division 05, 06, 07, 08, 09, 19 or 20.</t>
  </si>
  <si>
    <t>Percentage of green bonds in the benchmark portfolio.</t>
  </si>
  <si>
    <r>
      <t xml:space="preserve">Green Bond Exposure
</t>
    </r>
    <r>
      <rPr>
        <sz val="10"/>
        <color theme="1"/>
        <rFont val="Arial"/>
        <family val="2"/>
      </rPr>
      <t>(Index Weight, %)</t>
    </r>
  </si>
  <si>
    <t>The ‘Green Bond Exposure’ is the summed index weight of index constituents that are classified as green bonds.</t>
  </si>
  <si>
    <t>Sov. (Env.)</t>
  </si>
  <si>
    <t>The index weight of constituents that sufficiently disclose their greenhouse gas emissions. All sovereign emissions are estimated.</t>
  </si>
  <si>
    <r>
      <rPr>
        <u/>
        <sz val="8"/>
        <color theme="1"/>
        <rFont val="Arial"/>
        <family val="2"/>
      </rPr>
      <t>Source</t>
    </r>
    <r>
      <rPr>
        <sz val="8"/>
        <color theme="1"/>
        <rFont val="Arial"/>
        <family val="2"/>
      </rPr>
      <t xml:space="preserve">: </t>
    </r>
    <r>
      <rPr>
        <sz val="8"/>
        <color rgb="FFFF0000"/>
        <rFont val="Arial"/>
        <family val="2"/>
      </rPr>
      <t>S&amp;P Dow Jones Indices LLC;</t>
    </r>
    <r>
      <rPr>
        <sz val="8"/>
        <color theme="1"/>
        <rFont val="Arial"/>
        <family val="2"/>
      </rPr>
      <t xml:space="preserve"> Sustainalytics.; MSCI.  Data as of the date of publishing of this report.  Past performance is no guarantee of future results.  Table is provided for illustrative purposes.</t>
    </r>
  </si>
  <si>
    <t xml:space="preserve">Indices may portray characteristics that seem unintuitive based on their objective (for example, an ESG index may be found to have non-zero involvement in tobacco business activities).  This may be due to the index's methodology defining an exposure or type of involvement in a way that differs to how it is defined in by these metrics.  </t>
  </si>
  <si>
    <r>
      <t>Metric Asset Class:</t>
    </r>
    <r>
      <rPr>
        <sz val="11"/>
        <color theme="1"/>
        <rFont val="Arial"/>
        <family val="2"/>
      </rPr>
      <t xml:space="preserve">   'F.I'.</t>
    </r>
    <r>
      <rPr>
        <b/>
        <sz val="11"/>
        <color theme="1"/>
        <rFont val="Arial"/>
        <family val="2"/>
      </rPr>
      <t xml:space="preserve">   =</t>
    </r>
  </si>
  <si>
    <r>
      <t>Metric Asset Class:   '</t>
    </r>
    <r>
      <rPr>
        <sz val="11"/>
        <color theme="1"/>
        <rFont val="Arial"/>
        <family val="2"/>
      </rPr>
      <t xml:space="preserve">Sov.' </t>
    </r>
    <r>
      <rPr>
        <b/>
        <sz val="11"/>
        <color theme="1"/>
        <rFont val="Arial"/>
        <family val="2"/>
      </rPr>
      <t xml:space="preserve">  =</t>
    </r>
  </si>
  <si>
    <t>Social Factors</t>
  </si>
  <si>
    <t>F.I. (Soc.)</t>
  </si>
  <si>
    <t xml:space="preserve">Weighted average percentage of benchmark constituents in the controversial weapons sector. </t>
  </si>
  <si>
    <r>
      <t xml:space="preserve">Controversial Weapons Exposure 
</t>
    </r>
    <r>
      <rPr>
        <sz val="10"/>
        <color theme="1"/>
        <rFont val="Arial"/>
        <family val="2"/>
      </rPr>
      <t>(Index Weight, %)</t>
    </r>
  </si>
  <si>
    <t>The summed index weight of constituents involved in controversial weapons-related activities.</t>
  </si>
  <si>
    <t>Weighted average percentage of benchmark constituents in the tobacco sector.</t>
  </si>
  <si>
    <r>
      <t xml:space="preserve">Tobacco Exposure 
</t>
    </r>
    <r>
      <rPr>
        <sz val="10"/>
        <color theme="1"/>
        <rFont val="Arial"/>
        <family val="2"/>
      </rPr>
      <t>(Index Weight, %)</t>
    </r>
  </si>
  <si>
    <t>The summed index weight of constituents involved in tobacco-related activities.</t>
  </si>
  <si>
    <t xml:space="preserve">Number of benchmark constituents subject to social violations (absolute number and relative divided by all benchmark constituents), as referred to in international treaties and conventions, United Nations principles or, where applicable, national law. </t>
  </si>
  <si>
    <r>
      <t xml:space="preserve">Social Violations Exposure 
</t>
    </r>
    <r>
      <rPr>
        <sz val="10"/>
        <color theme="1"/>
        <rFont val="Arial"/>
        <family val="2"/>
      </rPr>
      <t>(Constituent Count)</t>
    </r>
  </si>
  <si>
    <r>
      <t xml:space="preserve">Social Violations Exposure 
</t>
    </r>
    <r>
      <rPr>
        <sz val="10"/>
        <color theme="1"/>
        <rFont val="Arial"/>
        <family val="2"/>
      </rPr>
      <t>(Exposure Constituent Count/Total Constituent Count)</t>
    </r>
  </si>
  <si>
    <t xml:space="preserve">Exposure of the benchmark portfolio to companies without due diligence policies on issues addressed by Conventions 1 to 8 of the International Labour Organisation. </t>
  </si>
  <si>
    <r>
      <t xml:space="preserve">Lack of Due Diligence (ILO) Exposure 
</t>
    </r>
    <r>
      <rPr>
        <sz val="10"/>
        <color theme="1"/>
        <rFont val="Arial"/>
        <family val="2"/>
      </rPr>
      <t>(Index Weight, %)</t>
    </r>
  </si>
  <si>
    <t>The summed index weight of constituents without due diligent policies on issues addressed by the ILO's Conventions 1 to 8.</t>
  </si>
  <si>
    <t>Weighted average gender pay gap.</t>
  </si>
  <si>
    <t>Weighted-Average Gender Pay Gap</t>
  </si>
  <si>
    <t xml:space="preserve">The ‘Weighted-Average Gender Pay Gap’ is an index weighted average of the unadjusted gender pay gap, which measures the difference between the average gross hourly earnings of female and male employees, expressed as a percentage of the average gross hourly earnings of male employees.  </t>
  </si>
  <si>
    <t>Weighted average ratio of female to male board members.</t>
  </si>
  <si>
    <t>Weighted-Average Female-to-Male Board Member Ratio</t>
  </si>
  <si>
    <t xml:space="preserve">The 'Weighted-Average Female-to-Male Board Member Ratio’ is an index weighted average of the ratios of the counts of female and male board members for a company. </t>
  </si>
  <si>
    <t>Weighted average ratio of accidents, injuries, fatalities.</t>
  </si>
  <si>
    <t>Weighted-Average Total Recordable Injury Rate</t>
  </si>
  <si>
    <t xml:space="preserve">The 'Weighted-Average Total Recordable Injury Rate’ is an index weighted average of the rate of all recordable work-related injuries suffered by the company’s employees and contractors and includes fatalities, lost time injuries, restricted work cases or medical treatment cases. This metric is expressed as the count of recordable injuries per million hours worked. </t>
  </si>
  <si>
    <t>Numbers of convictions and amount of fines for violations of anti-corruption and anti-bribery laws</t>
  </si>
  <si>
    <t>Number of Convictions for Violations of Anti-Corruption &amp; Anti-Bribery Laws</t>
  </si>
  <si>
    <t>The 'Number of Convictions for Violations of Anti-Corruption &amp; Anti-Bribery Laws' assesses the total number of convictions for violations of anti-corruption and anti-bribery laws per issuer (not bond) and across the issuer's family tree, summed at the index-level.</t>
  </si>
  <si>
    <t>Amount of Fines for Violations of Anti-Corruption &amp; Anti-Bribery Laws</t>
  </si>
  <si>
    <t>The 'Amount of Fines for Violations of Anti-Corruption &amp; Anti-Bribery Laws' assess the total value of fines for violations of anti-corruption and anti-bribery laws per issuer (not bond) and across the issuer's family tree, denominated in Euros, summed at the index-level.</t>
  </si>
  <si>
    <r>
      <rPr>
        <u/>
        <sz val="8"/>
        <color theme="1"/>
        <rFont val="Arial"/>
        <family val="2"/>
      </rPr>
      <t>Source</t>
    </r>
    <r>
      <rPr>
        <sz val="8"/>
        <color theme="1"/>
        <rFont val="Arial"/>
        <family val="2"/>
      </rPr>
      <t>:</t>
    </r>
    <r>
      <rPr>
        <sz val="8"/>
        <color rgb="FFFF0000"/>
        <rFont val="Arial"/>
        <family val="2"/>
      </rPr>
      <t xml:space="preserve"> S&amp;P Dow Jones Indices LLC</t>
    </r>
    <r>
      <rPr>
        <sz val="8"/>
        <color theme="1"/>
        <rFont val="Arial"/>
        <family val="2"/>
      </rPr>
      <t>; Sustainalytics; MSCI.  Data as of the date of publishing of this report.  Past performance is no guarantee of future results.  Table is provided for illustrative purposes.</t>
    </r>
  </si>
  <si>
    <t xml:space="preserve">Indices may portray characteristics that seem unintuitive based on their objective (for example, an ESG index may be found to have non-zero involvement in tobacco business activities).  This may be due to the index's methodology defining an exposure or type of involvement in a way that differs to how it is defined in by these metrics. </t>
  </si>
  <si>
    <t>The information in this section relates to the disclosure of ESG factors in the Benchmark Statement, as specified under Commission Delegated Regulation (EU) 2020/1816, specifically the ESG metrics to be disclosed for ‘equity’, ‘fixed income’, ‘sovereign debt’, ‘commodity’ and ‘other’ asset class indices under the 'Consideration of ESG Factors'. The metrics required for ‘fixed income’ (corporate bond) and 'sovereign debt' (sovereign bond) benchmarks are outlined in Annex II of Delegated Regulation 2020/1816, and shown and disclosed in the table below, alongside the metric used by S&amp;P DJI.</t>
  </si>
  <si>
    <t>Sov. (Soc.)</t>
  </si>
  <si>
    <t>Number of benchmark constituents subject to social violations (absolute number and relative number divided by all benchmark constituents), as referred to in international treaties and conventions, United Nations principles and, where applicable, national law.</t>
  </si>
  <si>
    <t>Average human rights performance of the issuers.</t>
  </si>
  <si>
    <t>Weighted-Average Human Rights Score</t>
  </si>
  <si>
    <t xml:space="preserve">Average income inequality score, measuring the distribution of income and economic inequality among the participants in a particular economy. </t>
  </si>
  <si>
    <t>Weighted-Average Income Inequality Score</t>
  </si>
  <si>
    <t xml:space="preserve">The ‘Weighted-Average Income Inequality Score’ is an index weighted average of the Income Inequality Score of index constituents. </t>
  </si>
  <si>
    <t>Average freedom of expression score measuring the extent to which political and civil society organizations can operate freely</t>
  </si>
  <si>
    <t>Weighted-Average Press Freedom Score</t>
  </si>
  <si>
    <t>Governance Factors</t>
  </si>
  <si>
    <t>Sov. (Gov.)</t>
  </si>
  <si>
    <t>Average corruption score measuring the perceived level of public sector corruption.</t>
  </si>
  <si>
    <t>Weighted-Average Corruption Score</t>
  </si>
  <si>
    <t>Average political stability score, measuring the likelihood that the current regime will be overthrown by the use of force.</t>
  </si>
  <si>
    <t>Weighted-Average Political Stability Score</t>
  </si>
  <si>
    <t>Average rule of law score, based on the absence of corruption, respect for fundamental rights, and the state of civil and criminal justice.</t>
  </si>
  <si>
    <t>Weighted-Average Rule of Law Score</t>
  </si>
  <si>
    <r>
      <rPr>
        <u/>
        <sz val="8"/>
        <color theme="1"/>
        <rFont val="Arial"/>
        <family val="2"/>
      </rPr>
      <t>Source</t>
    </r>
    <r>
      <rPr>
        <sz val="8"/>
        <color theme="1"/>
        <rFont val="Arial"/>
        <family val="2"/>
      </rPr>
      <t xml:space="preserve">: </t>
    </r>
    <r>
      <rPr>
        <sz val="8"/>
        <color rgb="FFFF0000"/>
        <rFont val="Arial"/>
        <family val="2"/>
      </rPr>
      <t>S&amp;P Dow Jones Indices LLC</t>
    </r>
    <r>
      <rPr>
        <sz val="8"/>
        <color theme="1"/>
        <rFont val="Arial"/>
        <family val="2"/>
      </rPr>
      <t>; Sustainalytics; MSCI.  Data as of the date of publishing of this report.  Past performance is no guarantee of future results.  Table is provided for illustrative purposes.</t>
    </r>
  </si>
  <si>
    <r>
      <t xml:space="preserve">Where can I find out more information about S&amp;P DJI's ESG benchmark disclosures? 
</t>
    </r>
    <r>
      <rPr>
        <sz val="12"/>
        <color theme="1"/>
        <rFont val="Arial"/>
        <family val="2"/>
      </rPr>
      <t xml:space="preserve">The Regulatory Information page on S&amp;P DJI's website contains more information on the EU Benchmark Regulation, including resources relating to the EU Low Carbon Benchmark Regulation. </t>
    </r>
  </si>
  <si>
    <t>Corporate Fixed Income Indices - Decarbonization Performance</t>
  </si>
  <si>
    <t>Universe Index:</t>
  </si>
  <si>
    <t>iBoxx MSCI USD High Yield Paris Aligned Capped TCA Index</t>
  </si>
  <si>
    <t>II. Additional Disclosure Requirements for EU CTBs and EU PABs</t>
  </si>
  <si>
    <t>Index Decarbonization Performance - Chart</t>
  </si>
  <si>
    <t>Index Decarbonization Performance - Table</t>
  </si>
  <si>
    <t>Rebalance 
Date</t>
  </si>
  <si>
    <r>
      <t>Universe Index Absolute Carbon Emissions (tCO</t>
    </r>
    <r>
      <rPr>
        <b/>
        <vertAlign val="subscript"/>
        <sz val="11"/>
        <rFont val="Arial"/>
        <family val="2"/>
      </rPr>
      <t>2</t>
    </r>
    <r>
      <rPr>
        <b/>
        <sz val="11"/>
        <rFont val="Arial"/>
        <family val="2"/>
      </rPr>
      <t>e)</t>
    </r>
  </si>
  <si>
    <r>
      <t>Target A</t>
    </r>
    <r>
      <rPr>
        <b/>
        <vertAlign val="superscript"/>
        <sz val="11"/>
        <rFont val="Arial"/>
        <family val="2"/>
      </rPr>
      <t xml:space="preserve">[1] </t>
    </r>
  </si>
  <si>
    <r>
      <t>Target B</t>
    </r>
    <r>
      <rPr>
        <b/>
        <vertAlign val="superscript"/>
        <sz val="11"/>
        <rFont val="Arial"/>
        <family val="2"/>
      </rPr>
      <t xml:space="preserve">[2] </t>
    </r>
  </si>
  <si>
    <t>Index Methodology Decarbonization Target:
Min(A,B) +2.5% Buffer</t>
  </si>
  <si>
    <t>Relative-to-Underlying Index Decarbonization (%)</t>
  </si>
  <si>
    <t>% WACI Reduction Relative-to-Underlying Constraint Met?</t>
  </si>
  <si>
    <t>Difference between Index WACI and Trajectory (tCO2e/EVIC USDmn)</t>
  </si>
  <si>
    <t>Decarbonization Trajectory Constraint Met?</t>
  </si>
  <si>
    <t>Index Decarbonization since Index Anchor Date (%)</t>
  </si>
  <si>
    <t>Index Active Share (%)</t>
  </si>
  <si>
    <t>-7% Self-Decarbonization Trajectory</t>
  </si>
  <si>
    <r>
      <rPr>
        <vertAlign val="superscript"/>
        <sz val="9"/>
        <color theme="1"/>
        <rFont val="Arial"/>
        <family val="2"/>
      </rPr>
      <t>[1]</t>
    </r>
    <r>
      <rPr>
        <sz val="8"/>
        <color theme="1"/>
        <rFont val="Arial"/>
        <family val="2"/>
      </rPr>
      <t xml:space="preserve"> 'Target A' represents the approach taken by the index to achieve the requirement of the Regulation, Article 9 ('Baseline reduction of GHG intensity or absolute GHG emissions for EU Climate Transition Benchmarks') or Article 11 ('Baseline reduction of GHG intensity or absolute GHG emissions for EU Paris-Aligned Benchmarks') . For more information on this calculation, see the iBoxx Paris-Aligned &amp; Climate Transition Index Family Benchmark Statement.
</t>
    </r>
    <r>
      <rPr>
        <vertAlign val="superscript"/>
        <sz val="9"/>
        <color theme="1"/>
        <rFont val="Arial"/>
        <family val="2"/>
      </rPr>
      <t>[2] '</t>
    </r>
    <r>
      <rPr>
        <sz val="8"/>
        <color theme="1"/>
        <rFont val="Arial"/>
        <family val="2"/>
      </rPr>
      <t>Target B' represents the approach taken by the index to achieve the requirement of the Regulation, Articles 7 and 8 ('Setting a decarbonisation trajectory' and 'Change in GHG intensity and absolute GHG emissions'). For more information on this calculation, see the iBoxx Paris-Aligned &amp; Climate Transition Index Family Benchmark Statement. The forward-looking decarbonization trajectories for indices are calculated using the same sources of data as the sum of company scopes 1, 2 and 3 greenhouse gas emissions and disclosed elsewhere in this report: S&amp;P Global Sustainable1 Environmental and Scope 3 datasets.</t>
    </r>
  </si>
  <si>
    <r>
      <t>How are 'Index Absolute Carbon Emissions' calculated?</t>
    </r>
    <r>
      <rPr>
        <sz val="12"/>
        <color theme="1"/>
        <rFont val="Arial"/>
        <family val="2"/>
      </rPr>
      <t xml:space="preserve">
Index Absolute Carbon Emissions are the sum of all issuer scopes 1, 2 and 3 greenhouse gas emissions in metric tonnes of carbon dioxide-equivalent terms.</t>
    </r>
  </si>
  <si>
    <r>
      <t xml:space="preserve">Can I use the index-level decarbonization metrics?
</t>
    </r>
    <r>
      <rPr>
        <sz val="12"/>
        <color theme="1"/>
        <rFont val="Arial"/>
        <family val="2"/>
      </rPr>
      <t xml:space="preserve">Access to, and use of, all information contained in this Report is subject to S&amp;P DJI's Terms of Use, available publicly via </t>
    </r>
    <r>
      <rPr>
        <u/>
        <sz val="12"/>
        <color theme="1"/>
        <rFont val="Arial"/>
        <family val="2"/>
      </rPr>
      <t>https://www.spglobal.com/spdji</t>
    </r>
    <r>
      <rPr>
        <sz val="12"/>
        <color theme="1"/>
        <rFont val="Arial"/>
        <family val="2"/>
      </rPr>
      <t>.</t>
    </r>
  </si>
  <si>
    <t xml:space="preserve">Index List
</t>
  </si>
  <si>
    <t>The following table outlines the complete list of corporate and sovereign fixed income ESG index-universe index pairings provided in the report as of the report date.</t>
  </si>
  <si>
    <t xml:space="preserve">Index:  </t>
  </si>
  <si>
    <t xml:space="preserve">Index Methodology:  </t>
  </si>
  <si>
    <t>Hang Seng Markit iBoxx Offshore RMB Green Bonds</t>
  </si>
  <si>
    <t>Hang Seng Markit iBoxx Offshore RMB Bond Index Rules</t>
  </si>
  <si>
    <t>iBoxx ABF Green Bonds Unconstrained</t>
  </si>
  <si>
    <t>iBoxx ABF Index Guide</t>
  </si>
  <si>
    <t>iBoxx ALBI Green Bonds Unconstrained</t>
  </si>
  <si>
    <t>iBoxx ALBI Index Guide</t>
  </si>
  <si>
    <t>iBoxx Asia Green Bonds Unconstrained</t>
  </si>
  <si>
    <t>iBoxx Asia Index Guide</t>
  </si>
  <si>
    <t>iBoxx ChinaBond Global Non-Sovereigns China Investment Grade Screened</t>
  </si>
  <si>
    <t>iBoxx ChinaBond Global Non-Sovereigns China Investment Grade Screened Index Guide</t>
  </si>
  <si>
    <t>iBoxx Contingent Convertible Liquid Developed Europe AT1</t>
  </si>
  <si>
    <t>iBoxx Contingent Convertible Liquid Developed Europe AT1 Index Guide</t>
  </si>
  <si>
    <t>iBoxx EUR Corporate Social Bonds Investment Grade (10% Issuer Cap)</t>
  </si>
  <si>
    <t>iBoxx EUR Corporate Social Bonds Investment Grade (10% Issuer Cap) Index Guide</t>
  </si>
  <si>
    <t>iBoxx EUR Corporates ESG</t>
  </si>
  <si>
    <t>iBoxx EUR Corporates ESG Indices Methodology</t>
  </si>
  <si>
    <t>iBoxx EUR Corporates FWPL</t>
  </si>
  <si>
    <t>iBoxx EUR Corporates FWPL Index Guide</t>
  </si>
  <si>
    <t>iBoxx EUR Corporates Investment Grade &amp; Fallen Angels FWPL</t>
  </si>
  <si>
    <t>iBoxx EUR Corporates Investment Grade &amp; Fallen Angels FWPL Index Guide</t>
  </si>
  <si>
    <t>iBoxx EUR Corporates Net Zero 2050 Paris-Aligned ESG</t>
  </si>
  <si>
    <t>iBoxx EUR Corporates Net Zero 2050 Paris-Aligned ESG Index Guide</t>
  </si>
  <si>
    <t>iBoxx EUR Corporates SRI Screened</t>
  </si>
  <si>
    <t>iBoxx EUR Corporates SRI Screened Indices Methodology</t>
  </si>
  <si>
    <t>iBoxx EUR Eurozone Sovereigns Green Bonds Capped</t>
  </si>
  <si>
    <t>iBoxx EUR Eurozone Sovereigns Green Bonds Capped Index Guide</t>
  </si>
  <si>
    <t>iBoxx EUR High Yield Corporates ESG</t>
  </si>
  <si>
    <t>iBoxx EUR High Yield Corporates ESG Indices Methodology</t>
  </si>
  <si>
    <t>iBoxx EUR High Yield Corporates SRI Screened</t>
  </si>
  <si>
    <t>iBoxx EUR High Yield Corporates SRI Screened Indices Methodology</t>
  </si>
  <si>
    <t>iBoxx EUR Non-Financials Senior ESG Custom</t>
  </si>
  <si>
    <t>iBoxx EUR Custom Indices</t>
  </si>
  <si>
    <t>iBoxx EUR Social Bonds Investment Grade (10% Issuer Cap)</t>
  </si>
  <si>
    <t>iBoxx EUR Social Bonds Investment Grade (10% Issuer Cap) Index Guide</t>
  </si>
  <si>
    <t>iBoxx EUR Sovereigns ESG Tilted</t>
  </si>
  <si>
    <t>iBoxx EUR Sovereigns ESG Tilted Index Guide</t>
  </si>
  <si>
    <t>iBoxx GBP Corporates 1-5 ESG Screened</t>
  </si>
  <si>
    <t>iBoxx GBP Corporates 1-5 ESG Screened Index Guide</t>
  </si>
  <si>
    <t>iBoxx GBP Corporates ESG</t>
  </si>
  <si>
    <t>iBoxx GBP Corporates ESG Indices Methodology</t>
  </si>
  <si>
    <t>iBoxx GBP Corporates SRI Screened</t>
  </si>
  <si>
    <t>iBoxx GBP Corporates SRI Screened Indices Methodology</t>
  </si>
  <si>
    <t>iBoxx GBP Non-Gilts Investment Grade &amp; Fallen Angels FWPL</t>
  </si>
  <si>
    <t>iBoxx GBP Non-Gilts Investment Grade &amp; Fallen Angels FWPL Index Guide</t>
  </si>
  <si>
    <t>iBoxx Global Core Corporates ESG</t>
  </si>
  <si>
    <t>iBoxx Global Core Corporates ESG Index Methodology</t>
  </si>
  <si>
    <t>iBoxx Global Core Corporates SRI Screened</t>
  </si>
  <si>
    <t>iBoxx Global Core Corporates SRI Screened Index Methodology</t>
  </si>
  <si>
    <t>iBoxx Global Government Developed Markets ESG Tilted Weight Capped</t>
  </si>
  <si>
    <t>iBoxx Sovereigns ESG Indices Methodology</t>
  </si>
  <si>
    <t>iBoxx Global Green Bonds Select</t>
  </si>
  <si>
    <t>iBoxx Global Green Bonds Select Index Guide</t>
  </si>
  <si>
    <t>iBoxx Global Green Select, Social &amp; Sustainability Bonds</t>
  </si>
  <si>
    <t>iBoxx Global Green Select, Social &amp; Sustainability Bonds Index Guide</t>
  </si>
  <si>
    <t>iBoxx Global Green, Social &amp; Sustainability Bonds</t>
  </si>
  <si>
    <t>iBoxx Global Green, Social &amp; Sustainability Bonds Index Guide</t>
  </si>
  <si>
    <t>iBoxx Global Sustainability-Linked Bonds</t>
  </si>
  <si>
    <t>iBoxx Global Sustainability-Linked Bonds Index Guide</t>
  </si>
  <si>
    <t>iBoxx JUST Capital USD High Yield Benchmark</t>
  </si>
  <si>
    <t>iBoxx JUST Capital USD High Yield Benchmark Index Guide</t>
  </si>
  <si>
    <t>iBoxx JUST Capital USD Investment Grade Benchmark</t>
  </si>
  <si>
    <t>iBoxx JUST Capital USD Investment Grade Benchmark Index Guide</t>
  </si>
  <si>
    <t>iBoxx MSCI ESG Advanced USD Liquid Investment Grade</t>
  </si>
  <si>
    <t>iBoxx MSCI ESG Advanced USD Liquid Investment Grade Index Guide</t>
  </si>
  <si>
    <t>iBoxx MSCI ESG EUR Corporates</t>
  </si>
  <si>
    <t>iBoxx MSCI ESG EUR Corporates Index Guide</t>
  </si>
  <si>
    <t>iBoxx MSCI ESG EUR Corporates 0-1 TCA</t>
  </si>
  <si>
    <t>iBoxx MSCI ESG EUR Corporates 0-1 TCA Index Guide</t>
  </si>
  <si>
    <t>iBoxx MSCI ESG EUR Corporates BBB TCA</t>
  </si>
  <si>
    <t>iBoxx MSCI ESG EUR Corporates BBB TCA Index Guide</t>
  </si>
  <si>
    <t>iBoxx MSCI ESG EUR Corporates Green Bond Select</t>
  </si>
  <si>
    <t>iBoxx MSCI ESG EUR Financials TCA</t>
  </si>
  <si>
    <t>iBoxx MSCI ESG EUR Financials TCA Index Guide</t>
  </si>
  <si>
    <t>iBoxx MSCI ESG EUR FRN Investment Grade Corporates TCA</t>
  </si>
  <si>
    <t>iBoxx MSCI ESG EUR FRN Investment Grade Corporates TCA Index Guide</t>
  </si>
  <si>
    <t>iBoxx MSCI ESG EUR High Yield Corporates 1-3 TCA</t>
  </si>
  <si>
    <t>iBoxx MSCI ESG EUR High Yield Corporates 1-3 TCA Index Guide</t>
  </si>
  <si>
    <t>iBoxx MSCI ESG EUR High Yield Corporates TCA</t>
  </si>
  <si>
    <t>iBoxx MSCI ESG EUR High Yield Corporates TCA Index Guide</t>
  </si>
  <si>
    <t>iBoxx MSCI ESG EUR Liquid Investment Grade Ultrashort</t>
  </si>
  <si>
    <t>iBoxx MSCI ESG EUR Liquid Investment Grade Ultrashort Index Guide</t>
  </si>
  <si>
    <t>iBoxx MSCI ESG GBP Liquid Investment Grade Ultrashort</t>
  </si>
  <si>
    <t>iBoxx MSCI ESG GBP Liquid Investment Grade Ultrashort Index Guide</t>
  </si>
  <si>
    <t>iBoxx MSCI ESG GBP Non-Gilts</t>
  </si>
  <si>
    <t>iBoxx MSCI ESG GBP Non-Gilts Index Guide</t>
  </si>
  <si>
    <t>iBoxx MSCI ESG USD Asia ex-Japan High Yield Capped TCA</t>
  </si>
  <si>
    <t>iBoxx MSCI ESG USD Asia ex-Japan High Yield Capped TCA Index Guide</t>
  </si>
  <si>
    <t>iBoxx MSCI ESG USD Emerging Markets Sovereigns Quality Weighted</t>
  </si>
  <si>
    <t>iBoxx MSCI ESG USD Emerging Markets Sovereigns Quality Weighted Index Guide</t>
  </si>
  <si>
    <t>iBoxx MSCI ESG USD FRN Investment Grade Corporates TCA</t>
  </si>
  <si>
    <t>iBoxx MSCI ESG USD FRN Investment Grade Corporates TCA Index Guide</t>
  </si>
  <si>
    <t>iBoxx MSCI ESG USD Liquid Investment Grade Ultrashort</t>
  </si>
  <si>
    <t>iBoxx MSCI ESG USD Liquid Investment Grade Ultrashort Index Guide</t>
  </si>
  <si>
    <t>iBoxx MSCI EUR Corporates Carbon and Governance Tilted</t>
  </si>
  <si>
    <t>iBoxx MSCI EUR Corporates Carbon and Governance Tilted Index Guide</t>
  </si>
  <si>
    <t>iBoxx MSCI EUR High Yield Paris Aligned Capped TCA</t>
  </si>
  <si>
    <t>iBoxx MSCI EUR High Yield Paris Aligned Capped TCA Index Guide</t>
  </si>
  <si>
    <t>iBoxx MSCI EUR Senior Corporates Investment Grade ESG Factor Weighted</t>
  </si>
  <si>
    <t>iBoxx MSCI EUR Senior Corporates Investment Grade ESG Factor Weighted Index</t>
  </si>
  <si>
    <t>iBoxx MSCI EUR Senior Corporates Investment Grade ESG Factor Weighted (version 2)</t>
  </si>
  <si>
    <t>iBoxx MSCI EUR Senior Corporates Investment Grade ESG Factor Weighted (Version 2) Index</t>
  </si>
  <si>
    <t>iBoxx MSCI EUR Senior Corporates Investment Grade ESG Factor Weighted (version 3)</t>
  </si>
  <si>
    <t>iBoxx MSCI EUR Senior Corporates Investment Grade ESG Factor Weighted (Version 3) Index Guide</t>
  </si>
  <si>
    <t>iBoxx MSCI GBP Corporates Paris Aligned Capped TCA</t>
  </si>
  <si>
    <t>iBoxx MSCI USD High Yield Paris Aligned Capped TCA</t>
  </si>
  <si>
    <t>iBoxx MSCI USD Senior Corporates Investment Grade ESG Factor Weighted</t>
  </si>
  <si>
    <t>iBoxx MSCI USD Senior Corporates Investment Grade ESG Factor Weighted Index Guide</t>
  </si>
  <si>
    <t>iBoxx SD-KPI EUR Corporates</t>
  </si>
  <si>
    <t>iBoxx SD-KPI EUR Corporates Index Guide</t>
  </si>
  <si>
    <t>iBoxx SD-KPI EUR Liquid Corporates</t>
  </si>
  <si>
    <t>iBoxx SD-KPI EUR Liquid Corporates Index Guide</t>
  </si>
  <si>
    <t>iBoxx SD-KPI GBP Corporates</t>
  </si>
  <si>
    <t>iBoxx SD-KPI GBP Corporates Index Guide</t>
  </si>
  <si>
    <t>iBoxx SD-KPI USD Corporates</t>
  </si>
  <si>
    <t>iBoxx SD-KPI USD Corporates Index Guide</t>
  </si>
  <si>
    <t>iBoxx SGD Green Bonds</t>
  </si>
  <si>
    <t>iBoxx Singapore Dollar (SGD) Bond Index Guide</t>
  </si>
  <si>
    <t>iBoxx USD Asia ex-Japan Corporates Investment Grade ESG Screened</t>
  </si>
  <si>
    <t>iBoxx USD Asia ex-Japan Corporates Investment Grade ESG Screened Index Guide</t>
  </si>
  <si>
    <t>iBoxx USD Contingent Convertible Liquid Developed Market AT1 (8% Issuer Cap)</t>
  </si>
  <si>
    <t>iBoxx USD Contingent Convertible Liquid Developed Market AT1 (8% Issuer Cap) Index Guide</t>
  </si>
  <si>
    <t>iBoxx USD Corporates ESG</t>
  </si>
  <si>
    <t>iBoxx USD Corporates ESG Indices Methodology</t>
  </si>
  <si>
    <t>iBoxx USD Corporates Investment Grade &amp; Fallen Angels FWPL</t>
  </si>
  <si>
    <t>iBoxx USD Corporates Investment Grade &amp; Fallen Angels FWPL Index Guide</t>
  </si>
  <si>
    <t>iBoxx USD Corporates SRI Screened</t>
  </si>
  <si>
    <t>iBoxx USD Corporates SRI Screened Indices Methodology</t>
  </si>
  <si>
    <t>iBoxx USD High Yield Corporates Developed Markets ESG</t>
  </si>
  <si>
    <t>iBoxx USD High Yield Corporates Developed Markets ESG Indices Methodology</t>
  </si>
  <si>
    <t>iBoxx USD High Yield Corporates Developed Markets SRI Screened</t>
  </si>
  <si>
    <t>iBoxx USD High Yield Corporates Developed Markets SRI Screened Indices Methodology</t>
  </si>
  <si>
    <t>Markit iBoxx Euro Sustainable Corporate Bond Custom Index</t>
  </si>
  <si>
    <t>Markit iBoxx Euro Sustainable Corporate Bond Custom Index Guide</t>
  </si>
  <si>
    <t>Markit iBoxx Global Corporates Liquid 150 Capped</t>
  </si>
  <si>
    <t>Appendices</t>
  </si>
  <si>
    <t>Appendix I: Report Version History</t>
  </si>
  <si>
    <t>Report Issue Month (Version)</t>
  </si>
  <si>
    <t>Change Notes:</t>
  </si>
  <si>
    <t>DECEMBER 2024</t>
  </si>
  <si>
    <r>
      <rPr>
        <u/>
        <sz val="11"/>
        <color theme="1"/>
        <rFont val="Arial"/>
        <family val="2"/>
      </rPr>
      <t>Index Effective Date:</t>
    </r>
    <r>
      <rPr>
        <sz val="11"/>
        <color theme="1"/>
        <rFont val="Arial"/>
        <family val="2"/>
      </rPr>
      <t xml:space="preserve"> 10/31/2024
</t>
    </r>
    <r>
      <rPr>
        <i/>
        <sz val="11"/>
        <color theme="1"/>
        <rFont val="Arial"/>
        <family val="2"/>
      </rPr>
      <t xml:space="preserve">First publication of some index-level metrics in the 'I. ESG Factors Report - FI'  sections.
For more information on these changes, please refer to the 'Appendix II - Changes to Document' section of the </t>
    </r>
    <r>
      <rPr>
        <i/>
        <u/>
        <sz val="11"/>
        <color theme="1"/>
        <rFont val="Arial"/>
        <family val="2"/>
      </rPr>
      <t>S&amp;P DJI EU BMR ESG Metrics Reference Guide</t>
    </r>
    <r>
      <rPr>
        <i/>
        <sz val="11"/>
        <color theme="1"/>
        <rFont val="Arial"/>
        <family val="2"/>
      </rPr>
      <t>.</t>
    </r>
  </si>
  <si>
    <r>
      <rPr>
        <u/>
        <sz val="11"/>
        <color theme="1"/>
        <rFont val="Arial"/>
        <family val="2"/>
      </rPr>
      <t>Index Effective Date:</t>
    </r>
    <r>
      <rPr>
        <sz val="11"/>
        <color theme="1"/>
        <rFont val="Arial"/>
        <family val="2"/>
      </rPr>
      <t xml:space="preserve"> 10/31/2024
</t>
    </r>
    <r>
      <rPr>
        <i/>
        <sz val="11"/>
        <color theme="1"/>
        <rFont val="Arial"/>
        <family val="2"/>
      </rPr>
      <t>Change to calculation of several index-level metrics in the 'I. ESG Factors Report - FI' sections.</t>
    </r>
    <r>
      <rPr>
        <sz val="11"/>
        <color theme="1"/>
        <rFont val="Arial"/>
        <family val="2"/>
      </rPr>
      <t xml:space="preserve">
</t>
    </r>
    <r>
      <rPr>
        <i/>
        <sz val="11"/>
        <color theme="1"/>
        <rFont val="Arial"/>
        <family val="2"/>
      </rPr>
      <t xml:space="preserve">For more information on these changes, please refer to the 'Appendix II - Changes to Document' section of the </t>
    </r>
    <r>
      <rPr>
        <i/>
        <u/>
        <sz val="11"/>
        <color theme="1"/>
        <rFont val="Arial"/>
        <family val="2"/>
      </rPr>
      <t>S&amp;P DJI EU BMR ESG Metrics Reference Guide</t>
    </r>
    <r>
      <rPr>
        <i/>
        <sz val="11"/>
        <color theme="1"/>
        <rFont val="Arial"/>
        <family val="2"/>
      </rPr>
      <t>.</t>
    </r>
  </si>
  <si>
    <r>
      <rPr>
        <u/>
        <sz val="11"/>
        <color theme="1"/>
        <rFont val="Arial"/>
        <family val="2"/>
      </rPr>
      <t>Index Effective Date:</t>
    </r>
    <r>
      <rPr>
        <sz val="11"/>
        <color theme="1"/>
        <rFont val="Arial"/>
        <family val="2"/>
      </rPr>
      <t xml:space="preserve"> 10/31/2024
</t>
    </r>
    <r>
      <rPr>
        <i/>
        <sz val="11"/>
        <color theme="1"/>
        <rFont val="Arial"/>
        <family val="2"/>
      </rPr>
      <t xml:space="preserve">This report is the first publication of the Corporate and Sovereign Fixed Income S&amp;P Dow Jones Indices EU Low Carbon Benchmark Regulation Disclosure Report in this format.
  Previous to its publication, the report took the form of individual index-level documents shared publicly via the same URL as this version of this report.
Please contact </t>
    </r>
    <r>
      <rPr>
        <i/>
        <u/>
        <sz val="11"/>
        <color rgb="FFFF0000"/>
        <rFont val="Arial"/>
        <family val="2"/>
      </rPr>
      <t>index_services@spglobal.com</t>
    </r>
    <r>
      <rPr>
        <i/>
        <sz val="11"/>
        <color theme="1"/>
        <rFont val="Arial"/>
        <family val="2"/>
      </rPr>
      <t xml:space="preserve"> for older versions of this report.</t>
    </r>
  </si>
  <si>
    <t>General Disclaimer</t>
  </si>
  <si>
    <t>Performance Disclosure</t>
  </si>
  <si>
    <t>SUSTAINALYTICS</t>
  </si>
  <si>
    <t>isd_index</t>
  </si>
  <si>
    <t>indexname</t>
  </si>
  <si>
    <t>Date_x</t>
  </si>
  <si>
    <t>Total_bond_count</t>
  </si>
  <si>
    <t>Total Sovereign Bond</t>
  </si>
  <si>
    <t>Total Corporate bond</t>
  </si>
  <si>
    <t>Sovereigns_Index_weight</t>
  </si>
  <si>
    <t>Corporates,Collateralized,Sub-Sovereigns_index_weight</t>
  </si>
  <si>
    <t>benchmark_type</t>
  </si>
  <si>
    <t>Combined ESG Score_score</t>
  </si>
  <si>
    <t>Combined ESG Score_Coverage_Index_weight</t>
  </si>
  <si>
    <t>Combined ESG Score_Coverage_Count</t>
  </si>
  <si>
    <t>Combined Environmental Score_score</t>
  </si>
  <si>
    <t>Combined Environmental Score_Coverage_Index_weight</t>
  </si>
  <si>
    <t>Combined Environmental Score_Coverage_Count</t>
  </si>
  <si>
    <t>Combined Social Score_score</t>
  </si>
  <si>
    <t>Combined Social Score_Coverage_Index_weight</t>
  </si>
  <si>
    <t>Combined Social Score_Coverage_Count</t>
  </si>
  <si>
    <t>Combined Governance Score_score</t>
  </si>
  <si>
    <t>Combined Governance Score_Coverage_Index_weight</t>
  </si>
  <si>
    <t>Combined Governance Score_Coverage_Count</t>
  </si>
  <si>
    <t>income_inequality_score</t>
  </si>
  <si>
    <t>income_inequality_Coverage_Index_weight</t>
  </si>
  <si>
    <t>income_inequality_Coverage_Count</t>
  </si>
  <si>
    <t>freedom_expression_score</t>
  </si>
  <si>
    <t>freedom_expression_Coverage_Index_weight</t>
  </si>
  <si>
    <t>freedom_expression_Coverage_Count</t>
  </si>
  <si>
    <t>gender_pay_gap_score</t>
  </si>
  <si>
    <t>gender_pay_gap_Coverage_Index_weight</t>
  </si>
  <si>
    <t>gender_pay_gap_Coverage_Count</t>
  </si>
  <si>
    <t>accidents_injuries_fatalities_score</t>
  </si>
  <si>
    <t>accidents_injuries_fatalities_Coverage_Index_weight</t>
  </si>
  <si>
    <t>accidents_injuries_fatalities_Coverage_Count</t>
  </si>
  <si>
    <t>political_stability_score_score</t>
  </si>
  <si>
    <t>political_stability_score_Coverage_Index_weight</t>
  </si>
  <si>
    <t>political_stability_score_Coverage_Count</t>
  </si>
  <si>
    <t>rule_of_law_score_score</t>
  </si>
  <si>
    <t>rule_of_law_score_Coverage_Index_weight</t>
  </si>
  <si>
    <t>rule_of_law_score_Coverage_Count</t>
  </si>
  <si>
    <t>ghg_intensity_sov</t>
  </si>
  <si>
    <t>ghg_intensity_sov_Coverage_Index_weight</t>
  </si>
  <si>
    <t>ghg_intensity_sov_Coverage_Count</t>
  </si>
  <si>
    <t>Negligible_index_weight</t>
  </si>
  <si>
    <t>Low_index_weight</t>
  </si>
  <si>
    <t>Medium_index_weight</t>
  </si>
  <si>
    <t>High_index_weight</t>
  </si>
  <si>
    <t>Severe_index_weight</t>
  </si>
  <si>
    <t>Not Rated_index_weight</t>
  </si>
  <si>
    <t>Controversial Weapons Conventions_score</t>
  </si>
  <si>
    <t>Controversial Weapons Conventions_Coverage_Index_weight</t>
  </si>
  <si>
    <t>Controversial Weapons Conventions_Coverage_Count</t>
  </si>
  <si>
    <t>Environmental Conventions_score</t>
  </si>
  <si>
    <t>Environmental Conventions_Coverage_Index_weight</t>
  </si>
  <si>
    <t>Environmental Conventions_Coverage_Count</t>
  </si>
  <si>
    <t>Human Rights Conventions_score</t>
  </si>
  <si>
    <t>Human Rights Conventions_Coverage_Index_weight</t>
  </si>
  <si>
    <t>Human Rights Conventions_Coverage_Count</t>
  </si>
  <si>
    <t xml:space="preserve"> Labour Rights Conventions_score</t>
  </si>
  <si>
    <t xml:space="preserve"> Labour Rights Conventions_Coverage_Index_weight</t>
  </si>
  <si>
    <t xml:space="preserve"> Labour Rights Conventions_Coverage_Count</t>
  </si>
  <si>
    <t>high_climate_impact_nace_Score</t>
  </si>
  <si>
    <t>high_climate_impact_nace_Index_Weight</t>
  </si>
  <si>
    <t>high_climate_impact_nace_Count</t>
  </si>
  <si>
    <t>ghg_intensity_corp_score</t>
  </si>
  <si>
    <t>ghg_intensity_corp_Coverage_Index_weight</t>
  </si>
  <si>
    <t>ghg_intensity_corp_Coverage_Count</t>
  </si>
  <si>
    <t>ghg_intensity_corp_reported_emission_Coverage</t>
  </si>
  <si>
    <t>energy_mining_nace_score</t>
  </si>
  <si>
    <t>energy_mining_nace_Index_Weight</t>
  </si>
  <si>
    <t>energy_mining_nace_Count</t>
  </si>
  <si>
    <t>green_bond_score</t>
  </si>
  <si>
    <t>green_bonds_Coverage_Index_weight</t>
  </si>
  <si>
    <t>green_bonds_Coverage_Count</t>
  </si>
  <si>
    <t>Controversial_weapon_score</t>
  </si>
  <si>
    <t>Controversial_weapon_score_Coverage_Index_weight</t>
  </si>
  <si>
    <t>Controversial_weapon_score_Coverage_Count</t>
  </si>
  <si>
    <t>Tobacco_score</t>
  </si>
  <si>
    <t>Tobacco_Coverage_Index_weight</t>
  </si>
  <si>
    <t>Tobacco_Coverage_Count</t>
  </si>
  <si>
    <t>Social_viloation_corp_score</t>
  </si>
  <si>
    <t>Social_viloation_corp_Coverage_Index_weight</t>
  </si>
  <si>
    <t>Social_viloation_corp_Coverage_Count</t>
  </si>
  <si>
    <t>Social_viloation_sov_score</t>
  </si>
  <si>
    <t>Social_viloation_sov_Coverage_Index_weight</t>
  </si>
  <si>
    <t>Social_viloation_sov_Coverage_Count</t>
  </si>
  <si>
    <t>Human_rights_score</t>
  </si>
  <si>
    <t>Human_rights_Coverage_Index_weight</t>
  </si>
  <si>
    <t>Human_rights_Coverage_Count</t>
  </si>
  <si>
    <t>Ilo_policy_corp_score</t>
  </si>
  <si>
    <t>Ilo_policy_corp_Coverage_Index_weight</t>
  </si>
  <si>
    <t>Ilo_policy_corp_Coverage_Count</t>
  </si>
  <si>
    <t>Corruption_score_corp</t>
  </si>
  <si>
    <t>Corruption_score_corp_Coverage_Index_weight</t>
  </si>
  <si>
    <t>Corruption_score_corp_Coverage_Count</t>
  </si>
  <si>
    <t>Fines_score_corp</t>
  </si>
  <si>
    <t>Fines_corp_Coverage_Index_weight</t>
  </si>
  <si>
    <t>Fines_corp_Coverage_Count</t>
  </si>
  <si>
    <t>female_to_male_board_Score</t>
  </si>
  <si>
    <t>female_to_male_board_Coverage_Index_weight</t>
  </si>
  <si>
    <t>female_to_male_board_Coverage_Count</t>
  </si>
  <si>
    <t>Independent_board_Score</t>
  </si>
  <si>
    <t>Independent_board_Coverage_Index_weight</t>
  </si>
  <si>
    <t>Independent_board_Coverage_Count</t>
  </si>
  <si>
    <t>Corruption_score_Sov</t>
  </si>
  <si>
    <t>Corruption_Sov_Coverage_Index_weight</t>
  </si>
  <si>
    <t>Corruption_Sov_Coverage_Count</t>
  </si>
  <si>
    <t>Methodology</t>
  </si>
  <si>
    <t>Model</t>
  </si>
  <si>
    <t>MSCI</t>
  </si>
  <si>
    <t>Combined ESG Score</t>
  </si>
  <si>
    <t>Combined Environmental Score</t>
  </si>
  <si>
    <t>Combined Social Score</t>
  </si>
  <si>
    <t>Combined Governance Score</t>
  </si>
  <si>
    <t>income_equality_sov</t>
  </si>
  <si>
    <t>income_equality_sov_Coverage_Index_weight</t>
  </si>
  <si>
    <t>income_equality_sov_Coverage_Count</t>
  </si>
  <si>
    <t>Press_freedom_sov</t>
  </si>
  <si>
    <t>Press_freedom_sov_Coverage_Index_weight</t>
  </si>
  <si>
    <t>Press_freedom_sov_Coverage_Count</t>
  </si>
  <si>
    <t>gender_pay_gap</t>
  </si>
  <si>
    <t>total_recordable_injury_rate</t>
  </si>
  <si>
    <t>total_recordable_injury_rate_Coverage_Index_weight</t>
  </si>
  <si>
    <t>total_recordable_injury_rate_Coverage_Count</t>
  </si>
  <si>
    <t>political_stability_score</t>
  </si>
  <si>
    <t>rule_of_law_score</t>
  </si>
  <si>
    <t>reported_emission</t>
  </si>
  <si>
    <t>controvercial_weapons_score</t>
  </si>
  <si>
    <t>controvercial_weapons_Coverage_Index_weight</t>
  </si>
  <si>
    <t>controvercial_weapons_Coverage_Count</t>
  </si>
  <si>
    <t>tabaco_score</t>
  </si>
  <si>
    <t>tabaco_Coverage_Index_weight</t>
  </si>
  <si>
    <t>tabaco_Coverage_Count</t>
  </si>
  <si>
    <t>social_violations_corp_score</t>
  </si>
  <si>
    <t>social_violations_corp_Coverage_Index_weight</t>
  </si>
  <si>
    <t>social_violations_corp_Coverage_Count</t>
  </si>
  <si>
    <t>social_violations_sov_score</t>
  </si>
  <si>
    <t>social_violations_sov_Coverage_Index_weight</t>
  </si>
  <si>
    <t>social_violations_sov_Coverage_Count</t>
  </si>
  <si>
    <t>human_rights_sov</t>
  </si>
  <si>
    <t>human_rights_sov_Coverage_Index_weight</t>
  </si>
  <si>
    <t>human_rights_sov_Coverage_Count</t>
  </si>
  <si>
    <t>ilo_policy_score_corp</t>
  </si>
  <si>
    <t>ilo_policy_corp_Coverage_Index_weight</t>
  </si>
  <si>
    <t>ilo_policy_corp_Coverage_Count</t>
  </si>
  <si>
    <t>corruption_convictions_score</t>
  </si>
  <si>
    <t>corruption_bribery_convictions_Coverage_Index_weight</t>
  </si>
  <si>
    <t>corruption_bribery_convictions_Coverage_Count</t>
  </si>
  <si>
    <t>corruption_Fines_score</t>
  </si>
  <si>
    <t>corruption_Fines_Coverage_Index_weight</t>
  </si>
  <si>
    <t>corruption_Fines_convictions_Coverage_Count</t>
  </si>
  <si>
    <t>female:male_diversity_ratio</t>
  </si>
  <si>
    <t>female:male_diversity_ratio_Coverage_Index_weight</t>
  </si>
  <si>
    <t>female:male_diversity_ratio_Coverage_Count</t>
  </si>
  <si>
    <t>corruption_score_sov</t>
  </si>
  <si>
    <t>corruption_score_sov_Coverage_Index_weight</t>
  </si>
  <si>
    <t>corruption_score_sov_Coverage_Count</t>
  </si>
  <si>
    <t>CUST.SSgA.EUR.LCY.01</t>
  </si>
  <si>
    <t>Fixed Income</t>
  </si>
  <si>
    <t>Sustainalytics</t>
  </si>
  <si>
    <t>MKT.DE0007931974.GBP.L.11919</t>
  </si>
  <si>
    <t>MKT.DE0007931974.GBP.L.12720</t>
  </si>
  <si>
    <t>MKT.DE0007931974.GBP.L.16041</t>
  </si>
  <si>
    <t>MKT.DE0007931974.GBP.L.16443</t>
  </si>
  <si>
    <t>MKT.DE0007931974.GBP.L.5489</t>
  </si>
  <si>
    <t>Fixed Income and Sovereign Debt</t>
  </si>
  <si>
    <t>MKT.DE0009682716.EUR.L.11920</t>
  </si>
  <si>
    <t>MKT.DE0009682716.EUR.L.13404</t>
  </si>
  <si>
    <t>MKT.DE0009682716.EUR.L.13534</t>
  </si>
  <si>
    <t>Sovereign Debt</t>
  </si>
  <si>
    <t>MKT.DE0009682716.EUR.L.13620</t>
  </si>
  <si>
    <t>MKT.DE0009682716.EUR.L.14449</t>
  </si>
  <si>
    <t>MKT.DE0009682716.EUR.L.15674</t>
  </si>
  <si>
    <t>MKT.DE0009682716.EUR.L.15686</t>
  </si>
  <si>
    <t>-</t>
  </si>
  <si>
    <t>MKT.DE0009682716.EUR.L.15712</t>
  </si>
  <si>
    <t>MKT.DE0009682716.EUR.L.16039</t>
  </si>
  <si>
    <t>MKT.DE0009682716.EUR.L.16045</t>
  </si>
  <si>
    <t>MKT.DE0009682716.EUR.L.16437</t>
  </si>
  <si>
    <t>MKT.DE0009682716.EUR.L.16449</t>
  </si>
  <si>
    <t>MKT.DE0009682716.EUR.L.8547</t>
  </si>
  <si>
    <t>MKT.GB00B05CVW93.EUR.L.14466</t>
  </si>
  <si>
    <t>MKT.GB00B05CVW93.EUR.L.7960</t>
  </si>
  <si>
    <t>MKT.GB00B05CVW93.USD.L.11915</t>
  </si>
  <si>
    <t>MKT.GB00B05CVW93.USD.L.12655</t>
  </si>
  <si>
    <t>MKT.GB00B05CVW93.USD.L.13107</t>
  </si>
  <si>
    <t>MKT.GB00B05CVW93.USD.L.13108</t>
  </si>
  <si>
    <t>MKT.GB00B05CVW93.USD.L.15679</t>
  </si>
  <si>
    <t>MKT.GB00B05CVW93.USD.L.16037</t>
  </si>
  <si>
    <t>MKT.GB00B05CVW93.USD.L.16043</t>
  </si>
  <si>
    <t>MKT.GB00B05CVW93.USD.L.16440</t>
  </si>
  <si>
    <t>MKT.GB00B05CVW93.USD.L.16446</t>
  </si>
  <si>
    <t>MKT.GB00B05CVW93.USD.L.17091</t>
  </si>
  <si>
    <t>MKT.GB00B05CVW93.USD.L.17118</t>
  </si>
  <si>
    <t>MKT.GB00B05CVW93.USD.L.3154</t>
  </si>
  <si>
    <t>MKT.GB00B05CVW93.USD.L.7965</t>
  </si>
  <si>
    <t>MKT.GB00B243CS01.EUR.L.11687</t>
  </si>
  <si>
    <t>MKT.GB00B243CS01.EUR.L.11696</t>
  </si>
  <si>
    <t>MKT.GB00B243CS01.EUR.L.12504</t>
  </si>
  <si>
    <t>MKT.GB00B243CS01.USD.L.16936</t>
  </si>
  <si>
    <t>MKT.GB00B243CS01.USD.L.16937</t>
  </si>
  <si>
    <t>MKT.GB00B2RBNR71.CNH.L.14615</t>
  </si>
  <si>
    <t>MKT.GB00B2RBNR71.SGD.L.14613</t>
  </si>
  <si>
    <t>MKT.GB00B2RBNR71.USD.L.14617</t>
  </si>
  <si>
    <t>MKT.GB00B2RBNR71.USD.L.14637</t>
  </si>
  <si>
    <t>MKT.GB00B2RBNR71.USD.L.14677</t>
  </si>
  <si>
    <t>MKT.GB00B2RBNR71.USD.L.14897</t>
  </si>
  <si>
    <t>MKT.GB00BD4LD556.EUR.L.12474</t>
  </si>
  <si>
    <t>MKT.GB00B05CVW93.USD.L.12718</t>
  </si>
  <si>
    <t>MKT.GB00B4K4X773.USD.L.12634</t>
  </si>
  <si>
    <t>MKT.GB00B05CVW93.USD.L.10037</t>
  </si>
  <si>
    <t>MKT.GB00B05CVW93.USD.L.12962</t>
  </si>
  <si>
    <t>MKT.GB00B05CVW93.USD.L.12293</t>
  </si>
  <si>
    <t>MKT.DE0009682716.EUR.L.11595</t>
  </si>
  <si>
    <t>MKT.DE0009682716.EUR.L.14482</t>
  </si>
  <si>
    <t>MKT.DE0009682716.EUR.L.398</t>
  </si>
  <si>
    <t>MKT.DE0009682716.EUR.L.8504</t>
  </si>
  <si>
    <t>MKT.DE0009682716.EUR.L.3406</t>
  </si>
  <si>
    <t>MKT.DE0009682716.EUR.L.4475</t>
  </si>
  <si>
    <t>MKT.GB00BD4LD556.EUR.L.12658</t>
  </si>
  <si>
    <t>MKT.DE0009682716.EUR.L.557</t>
  </si>
  <si>
    <t>MKT.DE0009682716.EUR.L.12961</t>
  </si>
  <si>
    <t>MKT.DE0009682716.EUR.L.10035</t>
  </si>
  <si>
    <t>MKT.DE0009682716.EUR.L.12048</t>
  </si>
  <si>
    <t>MKT.DE0007931974.GBP.L.12406</t>
  </si>
  <si>
    <t>MKT.DE0007931974.GBP.L.14480</t>
  </si>
  <si>
    <t>MKT.DE0007931974.GBP.L.10036</t>
  </si>
  <si>
    <t>MKT.DE0009682716.EUR.L.14437</t>
  </si>
  <si>
    <t>MKT.DE0009682716.EUR.L.868</t>
  </si>
  <si>
    <t>MKT.DE0009682716.EUR.L.14915</t>
  </si>
  <si>
    <t>MKT.GB00B05CVW93.USD.L.12594</t>
  </si>
  <si>
    <t>MKT.GB00B05CVW93.USD.L.3060</t>
  </si>
  <si>
    <t>IDX</t>
  </si>
  <si>
    <t>Index Name</t>
  </si>
  <si>
    <t>Index Methodology</t>
  </si>
  <si>
    <t>Index Methodology URL</t>
  </si>
  <si>
    <t>Index Rebalance #</t>
  </si>
  <si>
    <t>PAB/CTB</t>
  </si>
  <si>
    <t>Index Rebalance Date</t>
  </si>
  <si>
    <t>Universe Index Absolute Carbon Emissions (GtCO2e)</t>
  </si>
  <si>
    <t>Target A: Relative-to-Parent Reduction (ACE)</t>
  </si>
  <si>
    <t>Target B: Trajectory (-7% annualized)</t>
  </si>
  <si>
    <t>Regulatory Target: MIN(A,B)</t>
  </si>
  <si>
    <t>Regulatory Target * Buffer</t>
  </si>
  <si>
    <t>CTB/PAB Index Absolute Carbon Emissions (GtCO2e)</t>
  </si>
  <si>
    <t>Index Active Share</t>
  </si>
  <si>
    <t>Underlying Universe</t>
  </si>
  <si>
    <t>iBoxx EUR Corporates Net Zero 2050 Paris-Aligned ESG Index</t>
  </si>
  <si>
    <t>https://www.spglobal.com/spdji/en/documents/campaigns/iBoxx%20EUR%20Corporates%20Net%20Zero%202050%20Paris%20Aligned%20ESG%20ndex%20Guide%202023.pdf</t>
  </si>
  <si>
    <t>PA</t>
  </si>
  <si>
    <t>iBoxx EUR Corporates Index</t>
  </si>
  <si>
    <t>iBoxx MSCI USD High Yield Paris Aligned Capped TCA Index Guide</t>
  </si>
  <si>
    <t>https://www.markit.com/Company/Files/DownloadFiles?CMSID=1af682d634554666b87d91a7f6ed8e2c</t>
  </si>
  <si>
    <t>iBoxx USD High Yield 3% Issuer Cap Custom</t>
  </si>
  <si>
    <t>iBoxx MSCI EUR High Yield Paris Aligned Capped TCA Index</t>
  </si>
  <si>
    <t>https://www.spglobal.com/spdji/en/documents/methodologies/iBoxx%20MSCI%20EUR%20High%20Yield%20Paris%20Aligned%20Capped%20TCA%20Index%20(last%20updated%20February%202024).pdf</t>
  </si>
  <si>
    <t>iBoxx EUR High Yield 3% Issuer Cap Custom</t>
  </si>
  <si>
    <t>IDX.480</t>
  </si>
  <si>
    <t>iBoxx MSCI GBP Corporates Paris Aligned Capped TCA Index</t>
  </si>
  <si>
    <t>iBoxx MSCI GBP Corporates Paris Aligned Capped TCA Index Guide</t>
  </si>
  <si>
    <t>https://www.spglobal.com/spdji/en/documents/methodologies/iBoxx%20MSCI%20GBP%20Corporates%20Paris%20Aligned%20Capped%20TCA%20(last%20updated%20July%202024).pdf</t>
  </si>
  <si>
    <t>iBoxx £ Corporates</t>
  </si>
  <si>
    <t>iBoxx MSCI USD High Yield Paris Aligned Capped TCA Index (12/31/2020-11/30/2022 -- pre-trajectory rebase)</t>
  </si>
  <si>
    <t>Need scope 1+2 only Underlying Values</t>
  </si>
  <si>
    <t>Index Trajectory Rebased</t>
  </si>
  <si>
    <t>iBoxx MSCI EUR High Yield Paris Aligned Capped TCA Index (12/31/2020-11/30/2022 -- pre-trajectory rebase)</t>
  </si>
  <si>
    <t>iBoxx MSCI GBP Corporates Paris Aligned Capped TCA Index (12/31/2020-02/28/2023 -- pre-trajectory rebase)</t>
  </si>
  <si>
    <t>?</t>
  </si>
  <si>
    <r>
      <t>Target A</t>
    </r>
    <r>
      <rPr>
        <b/>
        <vertAlign val="superscript"/>
        <sz val="10"/>
        <color theme="0"/>
        <rFont val="Arial"/>
        <family val="2"/>
      </rPr>
      <t xml:space="preserve">[2] </t>
    </r>
  </si>
  <si>
    <r>
      <t>Target B</t>
    </r>
    <r>
      <rPr>
        <b/>
        <vertAlign val="superscript"/>
        <sz val="10"/>
        <color theme="0"/>
        <rFont val="Arial"/>
        <family val="2"/>
      </rPr>
      <t xml:space="preserve">[3] </t>
    </r>
  </si>
  <si>
    <t>DATA USED FOR INPUT FOR DATA REFERENCED BY CHART</t>
  </si>
  <si>
    <t>DATA REFERENCED BY CHART</t>
  </si>
  <si>
    <t>*</t>
  </si>
  <si>
    <t>Index Rebalance 
Reference Date</t>
  </si>
  <si>
    <t>Index Rebalance Effective Date</t>
  </si>
  <si>
    <t>Universe Index (WACI)</t>
  </si>
  <si>
    <t xml:space="preserve">
Universe Index (EVIC Inflation-Adjusted WACI)[1]</t>
  </si>
  <si>
    <t>Universe Index (-30/-50% EVIC Inflation-Adjusted WACI)</t>
  </si>
  <si>
    <t>7% Self-Decarbonization Trajectory</t>
  </si>
  <si>
    <t xml:space="preserve">
EU PAB Decarbonization Target: 
Min(A,B)</t>
  </si>
  <si>
    <t xml:space="preserve">
Index Methodology Decarbonization Target:
Min(A,B) +5% Buffer</t>
  </si>
  <si>
    <t>Paris-Aligned Index 
(EVIC Inflation-Adjusted WACI)</t>
  </si>
  <si>
    <t xml:space="preserve">
Universe Index (EVIC Inflation-Adjusted WACI)</t>
  </si>
  <si>
    <t>Target A: Universe Index (-50% EVIC Inflation-Adjusted WACI)</t>
  </si>
  <si>
    <t>Target B: -7% Self-Decarbonization Trajectory</t>
  </si>
  <si>
    <t>Universe Index (EVIC Inflation-Adjusted WACI)</t>
  </si>
  <si>
    <t xml:space="preserve"> -7% Self-Decarbonization Trajectory</t>
  </si>
  <si>
    <t>Page 1: Intro</t>
  </si>
  <si>
    <t>Page 1: Source (Decarb. Table)</t>
  </si>
  <si>
    <t>Page 2: Source (Chart)</t>
  </si>
  <si>
    <t>Page 2: Source (Article 12 Exclusion Table)</t>
  </si>
  <si>
    <t>Index Rebalance  Date</t>
  </si>
  <si>
    <t xml:space="preserve"> &lt;&lt;&lt; Select Index &gt;&gt;&gt;</t>
  </si>
  <si>
    <t xml:space="preserve">High Climate Impact NACE Sector Exposure </t>
  </si>
  <si>
    <t xml:space="preserve">Carbon-to-Value Footprint </t>
  </si>
  <si>
    <r>
      <t xml:space="preserve">GHG Emissions Not Covered:
</t>
    </r>
    <r>
      <rPr>
        <sz val="9"/>
        <color theme="1"/>
        <rFont val="Arial"/>
        <family val="2"/>
      </rPr>
      <t>(Index Weight, %)</t>
    </r>
  </si>
  <si>
    <r>
      <t xml:space="preserve">High Emitting Sector Exposure 
</t>
    </r>
    <r>
      <rPr>
        <sz val="9"/>
        <rFont val="Arial"/>
        <family val="2"/>
      </rPr>
      <t>(Index Weight, %)</t>
    </r>
  </si>
  <si>
    <r>
      <t xml:space="preserve">Green Bond Exposure
</t>
    </r>
    <r>
      <rPr>
        <sz val="9"/>
        <color theme="1"/>
        <rFont val="Arial"/>
        <family val="2"/>
      </rPr>
      <t>(Index Weight, %)</t>
    </r>
  </si>
  <si>
    <r>
      <t xml:space="preserve">Carbon-to-Value Footprint 
</t>
    </r>
    <r>
      <rPr>
        <sz val="9"/>
        <color theme="1"/>
        <rFont val="Arial"/>
        <family val="2"/>
      </rPr>
      <t>(GHG emissions 
tCO2e / EURmn GDP)</t>
    </r>
  </si>
  <si>
    <r>
      <t xml:space="preserve">Controversial Weapons Exposure 
</t>
    </r>
    <r>
      <rPr>
        <sz val="9"/>
        <color theme="1"/>
        <rFont val="Arial"/>
        <family val="2"/>
      </rPr>
      <t>(Index Weight, %)</t>
    </r>
  </si>
  <si>
    <r>
      <t xml:space="preserve">Tobacco Exposure 
</t>
    </r>
    <r>
      <rPr>
        <sz val="9"/>
        <color theme="1"/>
        <rFont val="Arial"/>
        <family val="2"/>
      </rPr>
      <t>(Index Weight, %)</t>
    </r>
  </si>
  <si>
    <r>
      <t xml:space="preserve">Social Violations Exposure 
</t>
    </r>
    <r>
      <rPr>
        <sz val="9"/>
        <color theme="1"/>
        <rFont val="Arial"/>
        <family val="2"/>
      </rPr>
      <t>(Constituent Count)</t>
    </r>
  </si>
  <si>
    <r>
      <t xml:space="preserve">Social Violations Exposure 
</t>
    </r>
    <r>
      <rPr>
        <sz val="9"/>
        <color theme="1"/>
        <rFont val="Arial"/>
        <family val="2"/>
      </rPr>
      <t>(Exposure Constituent Count/Total Constituent Count)</t>
    </r>
  </si>
  <si>
    <r>
      <t xml:space="preserve">ILO Conventions Exposure 
</t>
    </r>
    <r>
      <rPr>
        <sz val="9"/>
        <color theme="1"/>
        <rFont val="Arial"/>
        <family val="2"/>
      </rPr>
      <t>(Index Weight, %)</t>
    </r>
  </si>
  <si>
    <t>NAME RANGES</t>
  </si>
  <si>
    <t>CTB</t>
  </si>
  <si>
    <t>The information disclosed in this section relates to the components of the Climate Transition index that are minimum requirements for EU Climate Transition Benchmarks ('EU CTB'), as defined by Regulation (EU) 2019/2089 of the European Parliament and of the Council of 27 November 2019 amending Regulation (EU) 2016/1011 as regards EU Climate Transition Benchmarks, EU Paris-aligned Benchmarks and sustainability-related disclosures for benchmarks ('the Regulation' hereafter).</t>
  </si>
  <si>
    <t>Source: S&amp;P Dow Jones Indices Limited; S&amp;P Global Sustainable1.  Data as of the date of publishing of this report. For the Climate Transition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</si>
  <si>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Source: S&amp;P Dow Jones Indices LLC; S&amp;P Global Sustainable1.  Data as of the date of publishing of this report. For the Climate Transition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</si>
  <si>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Source: S&amp;P Dow Jones Indices LLC; S&amp;P Global Sustainable1.  Data as of the date of publishing of this report. Past performance is no guarantee of future results.  Table is provided for illustrative purposes. Articles 12(1)d-g are not required for EU CTB.</t>
  </si>
  <si>
    <t>Climate Transition Index:</t>
  </si>
  <si>
    <t xml:space="preserve">The ‘Weighted-Average ESG Score’ is an index weighted average of the Sustainalytics corporate and sovereign ESG Risk Scores of index constituents. The lowest score possible (best) is 0. This metric is a consolidated score including any corporate and sovereign bonds. </t>
  </si>
  <si>
    <t xml:space="preserve">The ‘Weighted-Average Environmental Score’ is an index weighted average of the Sustainalytics corporate and sovereign Environmental Risk Scores  of index constituents. The lowest score possible (best) is 0. This metric is a consolidated score including any corporate and sovereign bonds. </t>
  </si>
  <si>
    <t xml:space="preserve">The ‘Weighted-Average Social Score’ is an index weighted average of the Sustainalytics corporate and sovereign Social Risk Scores of index constituents. The lowest score possible (best) is 0. This metric is a consolidated score including any corporate and sovereign bonds. </t>
  </si>
  <si>
    <t xml:space="preserve">The ‘Weighted-Average Governance Score’ is an index weighted average of the Sustainalytics corporate and sovereign Governance Risk Scores of index constituents. The lowest score possible (best) is 0. This metric is a consolidated score including any corporate and sovereign bonds. </t>
  </si>
  <si>
    <t>The metric tons of scope 1 and 2 greenhouse gas emissions (tCO2e) apportioned to the index per EUR 1 million invested using Enterprise Value including Cash (EVIC) as the apportionment factor.</t>
  </si>
  <si>
    <t>The metric tons of greenhouse gas emissions (tCO2e) apportioned to the index per EUR 1 million invested using Gross Domestic Product (GDP) as the apportionment factor.</t>
  </si>
  <si>
    <t>The count of constituents classified in the Sustainalytics Global Standards Screening dataset as 'Non-compliant' with, or in violation of, any of the ten principles of the UNGC, ILO's Conventions, the UN Guiding Principles or Business and Human Rights, and Chapters of the OECD Guidelines for Multinational Enterprises.</t>
  </si>
  <si>
    <t>The count of constituents classified in the Sustainalytics Global Standards Screening dataset as 'Non-compliant' with, or in violation of, any of the ten principles of the UNGC, ILO's Conventions, the UN Guiding Principles or Business and Human Rights, and Chapters of the OECD Guidelines for Multinational Enterprises, divided by the total constituent count.</t>
  </si>
  <si>
    <t>The 'Weighted-Average Total Recordable Injury Rate’ is an index weighted average of the rate of all recordable work-related injuries suffered by the company’s employees and contractors and includes fatalities, lost time injuries, restricted work cases or medical treatment cases, expressed as injuries per million hours worked.</t>
  </si>
  <si>
    <t>The 'Amount of Fines for Violations of Anti-Corruption &amp; Anti-Bribery Laws' assess the total value of fines for violations of anti-corruption and anti-bribery laws per issuer (not bond) and across the issuer's family tree, denomiated in Euros, summed at the index-level.</t>
  </si>
  <si>
    <t>The count of constituents with relevant country events (repression, conflict or corruption) identified by Sustainalytics.</t>
  </si>
  <si>
    <t>The count of constituents with relevant country events (repression, conflict or corruption) identified by Sustainalytics, divided by the total index constituent count.</t>
  </si>
  <si>
    <t>The ‘Weighted-Average Human Rights Score’ is an index weighted average of the Sustainalytics 'Human Rights Score' of index constituents. Scores range between 0 (worst) and 100 (best).</t>
  </si>
  <si>
    <t>The ‘Weighted-Average Press Freedom Score’ is an index weighted average of the Sustainalytics 'Voice and Accountabilty Score' of index constituents. Scores range between 0 (worst) and 100 (best).</t>
  </si>
  <si>
    <t>The ‘Weighted-Average Corruption Score’ is an index weighted average of the Sustainalytics 'Corruption Score' of index constituents. Scores range between 0 (worst) and 100 (best).</t>
  </si>
  <si>
    <t>The ‘Weighted-Average Political Stability Score’ is an index weighted average of the Sustainalytics 'Political Stability Score' of index constituents. Scores range between 0 (worst) and 100 (best).</t>
  </si>
  <si>
    <t>The ‘Weighted-Average Rule of Law Score’ is an index weighted average of the Sustainalytics 'Rule of Law Score' of index constituents. Scores range between 0 (worst) and 100 (best).</t>
  </si>
  <si>
    <t>PAB</t>
  </si>
  <si>
    <t>The information disclosed in this section relates to the components of the Paris-Aligned index that are minimum requirements for EU Paris-Aligned Benchmarks ('EU PAB'), as defined by Regulation (EU) 2019/2089 of the European Parliament and of the Council of 27 November 2019 amending Regulation (EU) 2016/1011 as regards EU Climate Transition Benchmarks, EU Paris-aligned Benchmarks and sustainability-related disclosures for benchmarks ('the Regulation' hereafter).</t>
  </si>
  <si>
    <t>Source: S&amp;P Dow Jones Indices Limited; S&amp;P Global Sustainable1.  Data as of the date of publishing of this report. For the Paris-Aligned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</si>
  <si>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Source: S&amp;P Dow Jones Indices LLC; S&amp;P Global Sustainable1.  Data as of the date of publishing of this report. For the Paris-Aligned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</si>
  <si>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Source: S&amp;P Dow Jones Indices LLC; S&amp;P Global Sustainable1.  Data as of the date of publishing of this report. Past performance is no guarantee of future results.  Table is provided for illustrative purposes.</t>
  </si>
  <si>
    <t>Paris-Aligned Index:</t>
  </si>
  <si>
    <t xml:space="preserve">The ‘Weighted-Average ESG Score’ is an index weighted average of the MSCI industry-adjusted and government-adjusted ESG Scores of index constituents. Score range between 0 (worst) and 10 (best). This metric is a consolidated score including any corporate and sovereign bonds. </t>
  </si>
  <si>
    <t xml:space="preserve">The ‘Weighted-Average Environmental Score’ is an index weighted average of the MSCI industry-adjusted and government-adjusted Environmental Scores of index constituents. Score range between 0 (worst) and 10 (best). This metric is a consolidated score including any corporate and sovereign bonds. </t>
  </si>
  <si>
    <t xml:space="preserve">The ‘Weighted-Average Social Score’ is an index weighted average of the MSCI industry-adjusted and government-adjusted Social Scores of index constituents. Score range between 0 (worst) and 10 (best). This metric is a consolidated score including any corporate and sovereign bonds. </t>
  </si>
  <si>
    <t xml:space="preserve">The ‘Weighted-Average Governance Score’ is an index weighted average of the MSCI industry-adjusted and government-adjusted Governance Scores of index constituents. Score range between 0 (worst) and 10 (best). This metric is a consolidated score including any corporate and sovereign bonds. </t>
  </si>
  <si>
    <t>The metric tons of scope 1 and 2 greenhouse gas emissions (tCO2e) apportioned to the index per USD 1 million invested using Enterprise Value including Cash (EVIC) as the apportionment factor.</t>
  </si>
  <si>
    <t>The metric tons of greenhouse gas emissions (tCO2e) apportioned to the index per USD 1 million invested using Nominal Gross Domestic Product (GDP) as the apportionment factor.</t>
  </si>
  <si>
    <t xml:space="preserve">The count of constituents involved in social violations. Social violations are defined as 'Red Flag' controversies related to customers, human rights &amp; community impact or labor rights &amp; supply chain, in accordance with the MSCI ESG Controversies methodology. A Red Flag indicates an ongoing 'Very Severe' ESG controversy implicating a company directly through its actions, products, or operations. </t>
  </si>
  <si>
    <t xml:space="preserve">The count of constituents involved in social violations, divided by total constituent count. Social violations are defined as 'Red Flag' controversies related to customers, human rights &amp; community impact or labor rights &amp; supply chain, in accordance with the MSCI ESG Controversies methodology. A Red Flag indicates an ongoing 'Very Severe' ESG controversy implicating a company directly through its actions, products, or operations. </t>
  </si>
  <si>
    <t xml:space="preserve"> </t>
  </si>
  <si>
    <t>The count of constituents identified by MSCI with European External Action Service (EEAS) restrictive measures (sanctions) on imports and exports.</t>
  </si>
  <si>
    <t>The count of constituents identified by MSCI with European External Action Service (EEAS) restrictive measures (sanctions) on imports and exports, divided by the total index constituent count.</t>
  </si>
  <si>
    <t>The ‘Weighted-Average Human Rights Score’ is an index weighted average of the MSCI Government 'Fundamental Rights Sub-score' of index constituents. Scores range between 0 (worst) and 100 (best).</t>
  </si>
  <si>
    <t>The ‘Weighted-Average Press Freedom Score’ is an index weighted average of the MSCI Government 'World Press Freedom Index Score' of index constituents. Higher scores represent higher levels of press freedom.</t>
  </si>
  <si>
    <t>The ‘Weighted-Average Corruption Score’ is an index weighted average of the MSCI 'Corruption Perception Index Score' of index constituents. Lower scores represent countries with more perceived corruption.</t>
  </si>
  <si>
    <t>The ‘Weighted-Average Political Stability Score’ is an index weighted average of the MSCI 'Stability &amp; Peace Score' of index constituents. Scores range between 0 (worst) and 10 (best).</t>
  </si>
  <si>
    <t>The ‘Weighted-Average Rule of Law Score’ is an index weighted average of the MSCI 'Rule of Law Index Score' of index constituents. Scores typically range between 0 (worst) and 1 (best).</t>
  </si>
  <si>
    <t>The information disclosed in this section relates to the components of the Paris-Aligned or Climate Transition index that are minimum requirements for EU Paris-Aligned Benchmarks ('EU PAB') or Climate Transition Benchmarks ('EU CTB'), as defined by Regulation (EU) 2019/2089 of the European Parliament and of the Council of 27 November 2019 amending Regulation (EU) 2016/1011 as regards EU Climate Transition Benchmarks, EU Paris-aligned Benchmarks and sustainability-related disclosures for benchmarks ('the Regulation' hereafter).</t>
  </si>
  <si>
    <t>Source: S&amp;P Dow Jones Indices Limited; S&amp;P Global Sustainable1.  Data as of the date of publishing of this report. For the Paris-Aligned or Climate Transition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</si>
  <si>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Source: S&amp;P Dow Jones Indices LLC; S&amp;P Global Sustainable1.  Data as of the date of publishing of this report. For the Paris-Aligned or Climate Transition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t>
  </si>
  <si>
    <t>Confirm the MSCI data point used is correct</t>
  </si>
  <si>
    <t>Confirm the MSCI data point used is correct and the fines currency</t>
  </si>
  <si>
    <t>Jian, do you calculcate this as unique bonds or issuers?</t>
  </si>
  <si>
    <t>Is this the same for sustainalytics?</t>
  </si>
  <si>
    <t xml:space="preserve">Frequently Asked Questions: </t>
  </si>
  <si>
    <r>
      <t xml:space="preserve">Following the U.K.’s exit from the EU, the U.K. government enacted all the provisions of the </t>
    </r>
    <r>
      <rPr>
        <i/>
        <sz val="12"/>
        <color theme="1"/>
        <rFont val="Arial"/>
        <family val="2"/>
      </rPr>
      <t xml:space="preserve">EU Benchmark Regulation </t>
    </r>
    <r>
      <rPr>
        <sz val="12"/>
        <color theme="1"/>
        <rFont val="Arial"/>
        <family val="2"/>
      </rPr>
      <t xml:space="preserve">directly into U.K. law under the </t>
    </r>
    <r>
      <rPr>
        <i/>
        <sz val="12"/>
        <color theme="1"/>
        <rFont val="Arial"/>
        <family val="2"/>
      </rPr>
      <t>Benchmark (Amendment and Transitional Provisions) (EU Exit) Regulations 2019</t>
    </r>
    <r>
      <rPr>
        <sz val="12"/>
        <color theme="1"/>
        <rFont val="Arial"/>
        <family val="2"/>
      </rPr>
      <t xml:space="preserve"> as amended by the </t>
    </r>
    <r>
      <rPr>
        <i/>
        <sz val="12"/>
        <color theme="1"/>
        <rFont val="Arial"/>
        <family val="2"/>
      </rPr>
      <t xml:space="preserve">Financial Services (Electronic Money, Payment Services and Miscellaneous Amendments) (EU Exit) Regulations 2019 </t>
    </r>
    <r>
      <rPr>
        <sz val="12"/>
        <color theme="1"/>
        <rFont val="Arial"/>
        <family val="2"/>
      </rPr>
      <t xml:space="preserve"> ('U.K. BMR').  The </t>
    </r>
    <r>
      <rPr>
        <i/>
        <sz val="12"/>
        <color theme="1"/>
        <rFont val="Arial"/>
        <family val="2"/>
      </rPr>
      <t>EU Benchmark Regulation</t>
    </r>
    <r>
      <rPr>
        <sz val="12"/>
        <color theme="1"/>
        <rFont val="Arial"/>
        <family val="2"/>
      </rPr>
      <t xml:space="preserve">, as amended by the </t>
    </r>
    <r>
      <rPr>
        <i/>
        <sz val="12"/>
        <color theme="1"/>
        <rFont val="Arial"/>
        <family val="2"/>
      </rPr>
      <t>EU Regulation on Climate Transition Benchmarks, EU Paris-aligned Benchmarks and sustainability-related disclosures for benchmarks</t>
    </r>
    <r>
      <rPr>
        <sz val="12"/>
        <color theme="1"/>
        <rFont val="Arial"/>
        <family val="2"/>
      </rPr>
      <t xml:space="preserve">, came into effect in December 2020 (the </t>
    </r>
    <r>
      <rPr>
        <i/>
        <sz val="12"/>
        <color theme="1"/>
        <rFont val="Arial"/>
        <family val="2"/>
      </rPr>
      <t>EU Low Carbon Benchmark Regulation</t>
    </r>
    <r>
      <rPr>
        <sz val="12"/>
        <color theme="1"/>
        <rFont val="Arial"/>
        <family val="2"/>
      </rPr>
      <t xml:space="preserve">). The </t>
    </r>
    <r>
      <rPr>
        <i/>
        <sz val="12"/>
        <color theme="1"/>
        <rFont val="Arial"/>
        <family val="2"/>
      </rPr>
      <t>EU Low Carbon Benchmark Regulation</t>
    </r>
    <r>
      <rPr>
        <sz val="12"/>
        <color theme="1"/>
        <rFont val="Arial"/>
        <family val="2"/>
      </rPr>
      <t xml:space="preserve"> mandated various sustainability-related disclosures for benchmark administrators.
</t>
    </r>
  </si>
  <si>
    <t>Copyright © 2024.  S&amp;P Dow Jones Indices LLC. All rights reserved. S&amp;P, S&amp;P 500, SPX, SPY, The 500, US 500, US 30, S&amp;P 100, S&amp;P COMPOSITE 1500, S&amp;P 400, S&amp;P MIDCAP 400, S&amp;P 600, S&amp;P SMALLCAP 600, S&amp;P GIVI, GLOBAL TITANS, DIVIDENDS ARTISTOCRATS, DIVIDEND MONARCHS, BUYBACK ARISTOCRATS, SELECT SECTOR, S&amp;P MAESTRO, S&amp;P PRISM, GICS, SPIVA, INDEXOLOGY, iTraxx, iBoxx, ABX, ADBI, CDX, CMBX, MBX, MCDX, PRIMEX, HHPI, and SOVX are trademarks of S&amp;P Global, Inc. ("S&amp;P Global") or its affiliates. DOW JONES, DJIA, THE DOW, and DOW JONES INDUSTRIAL AVERAGE are trademarks of Dow Jones Trademark Holdings LLC (“Dow Jones”). These trademarks together with others have been licensed to S&amp;P Dow Jones Indices LLC. Redistribution or reproduction in whole or in part are prohibited without written permission of S&amp;P Dow Jones Indices LLC. This document does not constitute an offer of services in jurisdictions where S&amp;P Dow Jones Indices LLC, S&amp;P Global, Dow Jones or their respective affiliates (collectively “S&amp;P Dow Jones Indices”) do not have the necessary licenses. Except for certain custom index calculation services, all information provided by S&amp;P Dow Jones Indices is impersonal and not tailored to the needs of any person, entity or group of persons. S&amp;P Dow Jones Indices receives compensation in connection with licensing its indices to third parties and providing custom calculation services. Past performance of an index is not an indication or guarantee of future results.</t>
  </si>
  <si>
    <t>These materials have been prepared solely for informational purposes based upon information generally available to the public and from sources believed to be reliable. No content contained in these materials (including index data, ratings, credit-related analyses and data, research, valuations, model, software or other application or output therefrom) or any part thereof (“Content”) may be modified, reverse-engineered, reproduced or distributed in any form or by any means, or stored in a database or retrieval system, without the prior written permission of S&amp;P Dow Jones Indices. The Content shall not be used for any unlawful or unauthorized purposes. S&amp;P Dow Jones Indices and its third-party data providers and licensors (collectively “S&amp;P Dow Jones Indices Parties”) do not guarantee the accuracy, completeness, timeliness or availability of the Content. S&amp;P Dow Jones Indices Parties are not responsible for any errors or omissions, regardless of the cause, for the results obtained from the use of the Content. THE CONTENT IS PROVIDED ON AN “AS IS” BASIS. S&amp;P DOW JONES INDICES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Dow Jones Indices Parties be liable to any party for any direct, indirect, incidental, exemplary, compensatory, punitive, special or consequential damages, costs, expenses, legal fees, or losses (including, without limitation, lost income or lost profits and opportunity costs) in connection with any use of the Content even if advised of the possibility of such damages.</t>
  </si>
  <si>
    <t>S&amp;P Global keeps certain activities of its various divisions and business units separate from each other in order to preserve the independence and objectivity of their respective activities. As a result, certain divisions and business units of S&amp;P Global may have information that is not available to other business units. S&amp;P Global has established policies and procedures to maintain the confidentiality of certain non-public information received in connection with each analytical process.</t>
  </si>
  <si>
    <t>In addition, S&amp;P Dow Jones Indices provides a wide range of services to, or relating to, many organizations, including issuers of securities, investment advisers, broker-dealers, investment banks, other financial institutions and financial intermediaries, and accordingly may receive fees or other economic benefits from those organizations, including organizations whose securities or services they may recommend, rate, include in model portfolios, evaluate or otherwise address.</t>
  </si>
  <si>
    <t>S&amp;P Dow Jones Indices EU Low Carbon Benchmark Regulation Metrics</t>
  </si>
  <si>
    <t>Index EU BMR Asset Type:</t>
  </si>
  <si>
    <t>Sovereign Debt EU BMR ESG Factor</t>
  </si>
  <si>
    <t>EU Benchmark Regulation 'ESG Factor'</t>
  </si>
  <si>
    <t>'Sovereign Debt' EU BMR ESG Factor</t>
  </si>
  <si>
    <t>Corporate 'Fixed Income' EU BMR ESG Factor</t>
  </si>
  <si>
    <t>Corporate Fixed Income EU BMR ESG Factor</t>
  </si>
  <si>
    <r>
      <t xml:space="preserve">What are 'EU CTB' and 'EU PAB' indices? 
</t>
    </r>
    <r>
      <rPr>
        <sz val="12"/>
        <color theme="1"/>
        <rFont val="Arial"/>
        <family val="2"/>
      </rPr>
      <t>Each index-level ESG metric is defined and its calculation approach explained in the S&amp;P DJI EU BMR ESG Metrics Reference Guide.</t>
    </r>
  </si>
  <si>
    <r>
      <t>What are the decarbonization requirements for EU CTB and EU PABs?</t>
    </r>
    <r>
      <rPr>
        <sz val="12"/>
        <color theme="1"/>
        <rFont val="Arial"/>
        <family val="2"/>
      </rPr>
      <t xml:space="preserve">
EU Climate Transition Benchmarks ('EU CTB') and EU Paris-Aligned Benchmarks ('EU PAB') are benchmarks that incorporate specific objectives related to greenhouse gas (GHG) emission reductions and the transition to a low carbon economy — based on the scientific evidence of the IPCC — through the selection and weighting of underlying constituents. The methodology requirements for benchmarks to qualify as EU CTB or EU PAB are expressed by Delegated Regulation (EU) 2020/1818.</t>
    </r>
    <r>
      <rPr>
        <b/>
        <sz val="12"/>
        <color theme="1"/>
        <rFont val="Arial"/>
        <family val="2"/>
      </rPr>
      <t xml:space="preserve"> 
</t>
    </r>
    <r>
      <rPr>
        <sz val="12"/>
        <color theme="1"/>
        <rFont val="Arial"/>
        <family val="2"/>
      </rPr>
      <t xml:space="preserve">
The requirements for EU CTBs and EU PABs are laid down in Delegated Regulation (EU) 2020/1818, accordingly the indices target a reduced level of index emissions i) relative to their underlying index by -30% for EU CTB, and -50% for EU PABs, and ii) relative to self over time. The self-decarbonization requirements are achieved by defining the 'decarbonization trajectory' for the index that begin at the index's 'Index Anchor Date'. The decarbonization trajectory is the pathway of values of the index absolute carbon emission that equate to a -7% annualized self-decarbonization rate. 
EU CTBs and EU PABs are also required to apply a set of index screens and ensure that their exposure to constituents identified as 'High Climate Impact' is at least as high as the level measured for the index's underlying universe. For more information on the requirements for EU CTB and EU PAB, please refer to the Regulation</t>
    </r>
    <r>
      <rPr>
        <vertAlign val="superscript"/>
        <sz val="12"/>
        <color theme="1"/>
        <rFont val="Arial"/>
        <family val="2"/>
      </rPr>
      <t>1</t>
    </r>
    <r>
      <rPr>
        <sz val="12"/>
        <color theme="1"/>
        <rFont val="Arial"/>
        <family val="2"/>
      </rPr>
      <t>.</t>
    </r>
  </si>
  <si>
    <t xml:space="preserve">The information in this section relates to the disclosure of ESG factors in the Benchmark Statement, as specified under Commission Delegated Regulation (EU) 2020/1816, specifically the ESG metrics to be disclosed for ‘equity’, ‘fixed income’, ‘sovereign debt’, ‘commodity’ and ‘other’ asset class indices under the 'Consideration of ESG Factors'. The metrics required for ‘fixed income’ (corporate bond) and 'sovereign debt' (sovereign bond) benchmarks are outlined in Annex II of Delegated Regulation 2020/1816, and shown and disclosed in the table below, alongside the metric used by S&amp;P DJI. </t>
  </si>
  <si>
    <t>Please selec index here</t>
  </si>
  <si>
    <t>Please selec date here</t>
  </si>
  <si>
    <t xml:space="preserve">Explanation of how ESG factors are reflected in the Benchmark Statement
</t>
  </si>
  <si>
    <r>
      <t>This report is in relation to the ESG Disclosures for the indices administered by S&amp;P Dow Jones Indices Limited, and is intended to meet the ESG Disclosures requirements under Regulation (EU) 2020/1816</t>
    </r>
    <r>
      <rPr>
        <vertAlign val="superscript"/>
        <sz val="12"/>
        <color theme="1"/>
        <rFont val="Arial"/>
        <family val="2"/>
      </rPr>
      <t xml:space="preserve">1   </t>
    </r>
    <r>
      <rPr>
        <sz val="12"/>
        <color theme="1"/>
        <rFont val="Arial"/>
        <family val="2"/>
      </rPr>
      <t xml:space="preserve">
This report supplements S&amp;P Dow Jones Indices’ disclosures under Delegated Regulation (EU) 2020/1816 (Delegated Regulation) supplementing Regulation (EU) 2016/1011</t>
    </r>
    <r>
      <rPr>
        <vertAlign val="superscript"/>
        <sz val="12"/>
        <color theme="1"/>
        <rFont val="Arial"/>
        <family val="2"/>
      </rPr>
      <t>2</t>
    </r>
    <r>
      <rPr>
        <sz val="12"/>
        <color theme="1"/>
        <rFont val="Arial"/>
        <family val="2"/>
      </rPr>
      <t xml:space="preserve"> of the European Parliament and of the Council as regards the explanation in the Benchmark Statement of how Environmental, Social and Governance factors are reflected in each benchmark provided and published. Specifically, the index-level ESG metrics for relevant indices in accordance with the Delegated Regulation. This report should be read in conjunction with the Benchmark Statements and index guides for the relevant indices.</t>
    </r>
  </si>
  <si>
    <r>
      <rPr>
        <vertAlign val="superscript"/>
        <sz val="11"/>
        <color rgb="FF0A0A0A"/>
        <rFont val="Arial"/>
        <family val="2"/>
      </rPr>
      <t>1</t>
    </r>
    <r>
      <rPr>
        <sz val="11"/>
        <color rgb="FF0A0A0A"/>
        <rFont val="Arial"/>
        <family val="2"/>
      </rPr>
      <t xml:space="preserve"> https://eur-lex.europa.eu/eli/reg_del/2020/1818/oj </t>
    </r>
  </si>
  <si>
    <r>
      <t>What is the 'Index Anchor Date'?</t>
    </r>
    <r>
      <rPr>
        <sz val="12"/>
        <color theme="1"/>
        <rFont val="Arial"/>
        <family val="2"/>
      </rPr>
      <t xml:space="preserve">
The 'Index Anchor Date' is the date of the reference index composition and base index carbon emissions value calculated and used to determine the index's decarbonization trajectory. </t>
    </r>
  </si>
  <si>
    <t xml:space="preserve">S&amp;P Dow Jones Indices provides indices that use environmental, social, and/or governance (ESG) indicators (including, without limit, business involvement screens, conformance to voluntary corporate standards, GHG emissions data, and ESG scores) to select, weight, and/or exclude constituents.  ESG indicators seek to measure a company's, or an asset's performance, with respect to E, S, or G criteria.  ESG indicators are derived from publicly reported data, modelled data, or a combination of reported and modelled data. ESG indicators are based on a qualitative assessment due to the absence of well-defined uniform market standards and the use of multiple methodologies to assess ESG factors.  No single clear, definitive test or framework (legal, regulatory, or otherwise) exists to determine labels such as, 'ESG', 'sustainable', 'good governance', 'no adverse environmental, social, and/or other impacts', or other equivalently labelled objectives.  Therefore, the exercise of subjective judgment is necessary.  Different persons may classify the same investment, product and/or strategy differently regarding the foregoing labels. </t>
  </si>
  <si>
    <t xml:space="preserve">General Disclaimer
</t>
  </si>
  <si>
    <t>It is not possible to invest directly in an index. Exposure to an asset class represented by an index may be available through investable instruments based on that index. S&amp;P Dow Jones Indices does not sponsor, endorse, sell, promote or manage any investment fund or other investment vehicle that is offered by third parties and that seeks to provide an investment return based on the performance of any index. S&amp;P Dow Jones Indices makes no assurance that investment products based on the index will accurately track index performance or provide positive investment returns. Index performance does not reflect trading costs, management fees or expenses. S&amp;P Dow Jones Indices makes no representation regarding the advisability of investing in any such investment fund or other investment vehicle. A decision to invest in any such investment fund or other investment vehicle should not be made in reliance on any of the statements set forth in this document. S&amp;P Dow Jones Indices is not an investment advisor, commodity trading advisor, commodity pool operator, broker dealer, fiduciary, "promoter" (as defined in the Investment Company Act of 1940, as amended), "expert" as enumerated within 15 U.S.C. § 77k(a) or tax advisor.  Inclusion of a security, commodity, crypto currency or other asset within an index is not a recommendation by S&amp;P Dow Jones Indices to buy, sell, or hold such security, commodity, crypto currency or other asset, nor is it a considered to be investment advice or commodity trading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</si>
</sst>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0000_);_(* \(#,##0.0000\);_(* &quot;-&quot;??_);_(@_)"/>
    <numFmt numFmtId="167" formatCode="0.0000000"/>
  </numFmts>
  <fonts count="86"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8"/>
      <color theme="1"/>
      <name val="Arial"/>
      <family val="2"/>
    </font>
    <font>
      <vertAlign val="superscript"/>
      <sz val="8"/>
      <color theme="1"/>
      <name val="Arial"/>
      <family val="2"/>
    </font>
    <font>
      <b/>
      <sz val="9"/>
      <color theme="0"/>
      <name val="Arial"/>
      <family val="2"/>
    </font>
    <font>
      <sz val="9"/>
      <color theme="0"/>
      <name val="Arial"/>
      <family val="2"/>
    </font>
    <font>
      <b/>
      <sz val="12"/>
      <color theme="1"/>
      <name val="Arial"/>
      <family val="2"/>
    </font>
    <font>
      <sz val="10"/>
      <name val="Arial"/>
      <family val="2"/>
    </font>
    <font>
      <b/>
      <sz val="20"/>
      <color theme="1"/>
      <name val="Arial"/>
      <family val="2"/>
    </font>
    <font>
      <b/>
      <sz val="11"/>
      <color theme="1"/>
      <name val="Calibri"/>
      <family val="2"/>
      <scheme val="minor"/>
    </font>
    <font>
      <sz val="11"/>
      <color theme="0"/>
      <name val="Calibri"/>
      <family val="2"/>
      <scheme val="minor"/>
    </font>
    <font>
      <sz val="12"/>
      <color theme="1"/>
      <name val="Arial"/>
      <family val="2"/>
    </font>
    <font>
      <sz val="12"/>
      <color rgb="FF000000"/>
      <name val="Arial"/>
      <family val="2"/>
    </font>
    <font>
      <sz val="11"/>
      <color theme="1"/>
      <name val="Arial"/>
      <family val="2"/>
    </font>
    <font>
      <u/>
      <sz val="11"/>
      <color theme="10"/>
      <name val="Calibri"/>
      <family val="2"/>
      <scheme val="minor"/>
    </font>
    <font>
      <i/>
      <sz val="11"/>
      <color theme="1"/>
      <name val="Calibri"/>
      <family val="2"/>
      <scheme val="minor"/>
    </font>
    <font>
      <b/>
      <sz val="16"/>
      <color theme="1"/>
      <name val="Arial"/>
      <family val="2"/>
    </font>
    <font>
      <u/>
      <sz val="8"/>
      <color theme="1"/>
      <name val="Arial"/>
      <family val="2"/>
    </font>
    <font>
      <sz val="10"/>
      <color theme="1"/>
      <name val="Arial"/>
      <family val="2"/>
    </font>
    <font>
      <b/>
      <sz val="22"/>
      <color theme="1"/>
      <name val="Arial"/>
      <family val="2"/>
    </font>
    <font>
      <b/>
      <vertAlign val="superscript"/>
      <sz val="10"/>
      <color theme="0"/>
      <name val="Arial"/>
      <family val="2"/>
    </font>
    <font>
      <sz val="9"/>
      <name val="Arial"/>
      <family val="2"/>
    </font>
    <font>
      <sz val="11"/>
      <name val="Calibri"/>
      <family val="2"/>
      <scheme val="minor"/>
    </font>
    <font>
      <b/>
      <sz val="9"/>
      <name val="Arial"/>
      <family val="2"/>
    </font>
    <font>
      <i/>
      <sz val="12"/>
      <color theme="1"/>
      <name val="Arial"/>
      <family val="2"/>
    </font>
    <font>
      <b/>
      <sz val="11"/>
      <name val="Arial"/>
      <family val="2"/>
    </font>
    <font>
      <b/>
      <sz val="10"/>
      <color theme="1"/>
      <name val="Arial"/>
      <family val="2"/>
    </font>
    <font>
      <sz val="22"/>
      <color theme="1"/>
      <name val="Arial"/>
      <family val="2"/>
    </font>
    <font>
      <sz val="11"/>
      <color rgb="FFFF0000"/>
      <name val="Calibri"/>
      <family val="2"/>
      <scheme val="minor"/>
    </font>
    <font>
      <sz val="11"/>
      <color rgb="FF006100"/>
      <name val="Calibri"/>
      <family val="2"/>
      <scheme val="minor"/>
    </font>
    <font>
      <sz val="11"/>
      <name val="Arial"/>
      <family val="2"/>
    </font>
    <font>
      <i/>
      <sz val="11"/>
      <color theme="1"/>
      <name val="Arial"/>
      <family val="2"/>
    </font>
    <font>
      <sz val="22"/>
      <name val="Arial"/>
      <family val="2"/>
    </font>
    <font>
      <u/>
      <sz val="10"/>
      <color theme="1"/>
      <name val="Arial"/>
      <family val="2"/>
    </font>
    <font>
      <b/>
      <sz val="11"/>
      <color theme="1"/>
      <name val="Arial"/>
      <family val="2"/>
    </font>
    <font>
      <sz val="11"/>
      <color theme="1" tint="0.34998626667073579"/>
      <name val="Arial"/>
      <family val="2"/>
    </font>
    <font>
      <b/>
      <sz val="11"/>
      <color theme="1" tint="0.34998626667073579"/>
      <name val="Arial"/>
      <family val="2"/>
    </font>
    <font>
      <i/>
      <sz val="10"/>
      <color theme="1"/>
      <name val="Arial"/>
      <family val="2"/>
    </font>
    <font>
      <u/>
      <sz val="11"/>
      <color theme="10"/>
      <name val="Arial"/>
      <family val="2"/>
    </font>
    <font>
      <b/>
      <sz val="14"/>
      <color theme="1"/>
      <name val="Arial"/>
      <family val="2"/>
    </font>
    <font>
      <i/>
      <u/>
      <sz val="11"/>
      <color theme="10"/>
      <name val="Arial"/>
      <family val="2"/>
    </font>
    <font>
      <b/>
      <u/>
      <sz val="11"/>
      <color theme="1"/>
      <name val="Arial"/>
      <family val="2"/>
    </font>
    <font>
      <b/>
      <sz val="12"/>
      <color theme="4"/>
      <name val="Arial"/>
      <family val="2"/>
    </font>
    <font>
      <vertAlign val="superscript"/>
      <sz val="12"/>
      <color theme="1"/>
      <name val="Arial"/>
      <family val="2"/>
    </font>
    <font>
      <b/>
      <sz val="12"/>
      <color theme="4" tint="-0.249977111117893"/>
      <name val="Arial"/>
      <family val="2"/>
    </font>
    <font>
      <sz val="9"/>
      <color theme="1"/>
      <name val="Calibri"/>
      <family val="2"/>
      <scheme val="minor"/>
    </font>
    <font>
      <b/>
      <sz val="12"/>
      <color rgb="FFC00000"/>
      <name val="Arial"/>
      <family val="2"/>
    </font>
    <font>
      <sz val="12"/>
      <color rgb="FF0A0A0A"/>
      <name val="Arial"/>
      <family val="2"/>
    </font>
    <font>
      <u/>
      <sz val="14"/>
      <color theme="10"/>
      <name val="Arial"/>
      <family val="2"/>
    </font>
    <font>
      <u/>
      <sz val="12"/>
      <color theme="10"/>
      <name val="Arial"/>
      <family val="2"/>
    </font>
    <font>
      <u/>
      <sz val="11"/>
      <color theme="1"/>
      <name val="Arial"/>
      <family val="2"/>
    </font>
    <font>
      <b/>
      <sz val="11"/>
      <color theme="0"/>
      <name val="Arial"/>
      <family val="2"/>
    </font>
    <font>
      <i/>
      <u/>
      <sz val="11"/>
      <color theme="1"/>
      <name val="Arial"/>
      <family val="2"/>
    </font>
    <font>
      <vertAlign val="superscript"/>
      <sz val="9"/>
      <color theme="1"/>
      <name val="Arial"/>
      <family val="2"/>
    </font>
    <font>
      <i/>
      <u/>
      <sz val="10"/>
      <color theme="10"/>
      <name val="Arial"/>
      <family val="2"/>
    </font>
    <font>
      <b/>
      <sz val="24"/>
      <color theme="1"/>
      <name val="Arial"/>
      <family val="2"/>
    </font>
    <font>
      <b/>
      <vertAlign val="superscript"/>
      <sz val="11"/>
      <name val="Arial"/>
      <family val="2"/>
    </font>
    <font>
      <sz val="11"/>
      <color theme="0"/>
      <name val="Arial"/>
      <family val="2"/>
    </font>
    <font>
      <b/>
      <vertAlign val="subscript"/>
      <sz val="11"/>
      <name val="Arial"/>
      <family val="2"/>
    </font>
    <font>
      <sz val="20"/>
      <color theme="1"/>
      <name val="Arial"/>
      <family val="2"/>
    </font>
    <font>
      <sz val="8"/>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5"/>
      <color rgb="FF000000"/>
      <name val="Calibri"/>
      <family val="2"/>
      <scheme val="minor"/>
    </font>
    <font>
      <b/>
      <u/>
      <sz val="10"/>
      <color theme="1"/>
      <name val="Arial"/>
      <family val="2"/>
    </font>
    <font>
      <i/>
      <sz val="11"/>
      <name val="Arial"/>
      <family val="2"/>
    </font>
    <font>
      <b/>
      <sz val="14"/>
      <color theme="0"/>
      <name val="Arial"/>
      <family val="2"/>
    </font>
    <font>
      <b/>
      <sz val="12"/>
      <color theme="0"/>
      <name val="Arial"/>
      <family val="2"/>
    </font>
    <font>
      <i/>
      <sz val="10"/>
      <name val="Arial"/>
      <family val="2"/>
    </font>
    <font>
      <i/>
      <sz val="12"/>
      <color rgb="FFC00000"/>
      <name val="Arial"/>
      <family val="2"/>
    </font>
    <font>
      <u/>
      <sz val="12"/>
      <color theme="1"/>
      <name val="Arial"/>
      <family val="2"/>
    </font>
    <font>
      <sz val="11"/>
      <color rgb="FF0A0A0A"/>
      <name val="Arial"/>
      <family val="2"/>
    </font>
    <font>
      <vertAlign val="superscript"/>
      <sz val="11"/>
      <color rgb="FF0A0A0A"/>
      <name val="Arial"/>
      <family val="2"/>
    </font>
    <font>
      <i/>
      <u/>
      <sz val="11"/>
      <color rgb="FFFF0000"/>
      <name val="Arial"/>
      <family val="2"/>
    </font>
  </fonts>
  <fills count="65">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8" tint="-0.499984740745262"/>
        <bgColor indexed="64"/>
      </patternFill>
    </fill>
    <fill>
      <patternFill patternType="solid">
        <fgColor theme="0"/>
        <bgColor indexed="64"/>
      </patternFill>
    </fill>
    <fill>
      <patternFill patternType="solid">
        <fgColor rgb="FFC2C2C2"/>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79998168889431442"/>
        <bgColor indexed="64"/>
      </patternFill>
    </fill>
    <fill>
      <patternFill patternType="solid">
        <fgColor rgb="FFC6EFCE"/>
      </patternFill>
    </fill>
    <fill>
      <patternFill patternType="solid">
        <fgColor theme="2" tint="-0.499984740745262"/>
        <bgColor indexed="64"/>
      </patternFill>
    </fill>
    <fill>
      <patternFill patternType="solid">
        <fgColor rgb="FFF6FAF4"/>
        <bgColor indexed="64"/>
      </patternFill>
    </fill>
    <fill>
      <patternFill patternType="solid">
        <fgColor rgb="FFEAF3FA"/>
        <bgColor indexed="64"/>
      </patternFill>
    </fill>
    <fill>
      <patternFill patternType="solid">
        <fgColor rgb="FFFFFDF7"/>
        <bgColor indexed="64"/>
      </patternFill>
    </fill>
    <fill>
      <patternFill patternType="solid">
        <fgColor theme="8" tint="0.59999389629810485"/>
        <bgColor indexed="64"/>
      </patternFill>
    </fill>
    <fill>
      <patternFill patternType="solid">
        <fgColor rgb="FFCAEAC8"/>
        <bgColor indexed="64"/>
      </patternFill>
    </fill>
    <fill>
      <patternFill patternType="solid">
        <fgColor rgb="FFFBFBFB"/>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4"/>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2"/>
      </top>
      <bottom/>
      <diagonal/>
    </border>
    <border>
      <left/>
      <right style="thin">
        <color theme="2"/>
      </right>
      <top/>
      <bottom/>
      <diagonal/>
    </border>
    <border>
      <left/>
      <right style="thin">
        <color theme="2"/>
      </right>
      <top style="thin">
        <color theme="2"/>
      </top>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top style="thin">
        <color theme="0"/>
      </top>
      <bottom style="thin">
        <color theme="0"/>
      </bottom>
      <diagonal/>
    </border>
    <border>
      <left style="thin">
        <color indexed="64"/>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top style="thin">
        <color theme="0" tint="-4.9989318521683403E-2"/>
      </top>
      <bottom/>
      <diagonal/>
    </border>
    <border>
      <left/>
      <right style="thin">
        <color indexed="64"/>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indexed="64"/>
      </left>
      <right style="thin">
        <color indexed="64"/>
      </right>
      <top style="thin">
        <color theme="0" tint="-4.9989318521683403E-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bottom style="thin">
        <color theme="2"/>
      </bottom>
      <diagonal/>
    </border>
    <border>
      <left style="thin">
        <color theme="2"/>
      </left>
      <right/>
      <top style="thin">
        <color theme="2"/>
      </top>
      <bottom/>
      <diagonal/>
    </border>
    <border>
      <left style="thin">
        <color theme="2"/>
      </left>
      <right/>
      <top/>
      <bottom/>
      <diagonal/>
    </border>
    <border>
      <left style="thin">
        <color theme="2"/>
      </left>
      <right/>
      <top/>
      <bottom style="thin">
        <color theme="2"/>
      </bottom>
      <diagonal/>
    </border>
    <border>
      <left style="thin">
        <color theme="0"/>
      </left>
      <right style="thin">
        <color theme="0"/>
      </right>
      <top style="thin">
        <color theme="4" tint="0.79998168889431442"/>
      </top>
      <bottom style="thin">
        <color theme="0"/>
      </bottom>
      <diagonal/>
    </border>
    <border>
      <left style="thin">
        <color theme="0"/>
      </left>
      <right style="thin">
        <color theme="4" tint="0.79998168889431442"/>
      </right>
      <top style="thin">
        <color theme="4" tint="0.79998168889431442"/>
      </top>
      <bottom style="thin">
        <color theme="0"/>
      </bottom>
      <diagonal/>
    </border>
    <border>
      <left/>
      <right style="thin">
        <color theme="0"/>
      </right>
      <top style="thin">
        <color theme="4" tint="0.79998168889431442"/>
      </top>
      <bottom style="thin">
        <color theme="0"/>
      </bottom>
      <diagonal/>
    </border>
    <border>
      <left style="thin">
        <color theme="0"/>
      </left>
      <right style="thin">
        <color theme="4" tint="0.79998168889431442"/>
      </right>
      <top style="thin">
        <color theme="0"/>
      </top>
      <bottom style="thin">
        <color theme="0"/>
      </bottom>
      <diagonal/>
    </border>
    <border>
      <left style="thin">
        <color theme="0"/>
      </left>
      <right style="thin">
        <color theme="4" tint="0.79998168889431442"/>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4" tint="0.79998168889431442"/>
      </left>
      <right style="thin">
        <color theme="0"/>
      </right>
      <top style="thin">
        <color theme="4" tint="0.79998168889431442"/>
      </top>
      <bottom style="thin">
        <color theme="0"/>
      </bottom>
      <diagonal/>
    </border>
    <border>
      <left style="thin">
        <color theme="4" tint="0.79998168889431442"/>
      </left>
      <right style="thin">
        <color theme="0"/>
      </right>
      <top style="thin">
        <color theme="0"/>
      </top>
      <bottom style="thin">
        <color theme="0"/>
      </bottom>
      <diagonal/>
    </border>
    <border>
      <left style="thin">
        <color theme="4" tint="0.79998168889431442"/>
      </left>
      <right style="thin">
        <color theme="0"/>
      </right>
      <top style="thin">
        <color theme="0"/>
      </top>
      <bottom style="thin">
        <color indexed="64"/>
      </bottom>
      <diagonal/>
    </border>
    <border>
      <left style="thin">
        <color theme="0"/>
      </left>
      <right/>
      <top style="thin">
        <color theme="4" tint="0.79998168889431442"/>
      </top>
      <bottom style="thin">
        <color theme="0"/>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0"/>
      </right>
      <top style="thin">
        <color theme="0"/>
      </top>
      <bottom/>
      <diagonal/>
    </border>
    <border>
      <left/>
      <right/>
      <top style="thin">
        <color theme="2"/>
      </top>
      <bottom style="thin">
        <color theme="2"/>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indexed="64"/>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2"/>
      </right>
      <top/>
      <bottom style="thin">
        <color theme="2"/>
      </bottom>
      <diagonal/>
    </border>
    <border>
      <left style="thin">
        <color theme="1" tint="0.499984740745262"/>
      </left>
      <right style="thin">
        <color theme="1" tint="0.499984740745262"/>
      </right>
      <top style="thin">
        <color theme="1" tint="0.499984740745262"/>
      </top>
      <bottom style="thin">
        <color theme="0" tint="-0.34998626667073579"/>
      </bottom>
      <diagonal/>
    </border>
    <border>
      <left style="thin">
        <color theme="2"/>
      </left>
      <right style="thin">
        <color theme="2"/>
      </right>
      <top style="thin">
        <color theme="2"/>
      </top>
      <bottom style="thin">
        <color theme="2"/>
      </bottom>
      <diagonal/>
    </border>
    <border>
      <left style="thin">
        <color theme="0" tint="-0.14999847407452621"/>
      </left>
      <right/>
      <top style="thin">
        <color theme="0" tint="-0.14999847407452621"/>
      </top>
      <bottom style="thin">
        <color theme="2"/>
      </bottom>
      <diagonal/>
    </border>
    <border>
      <left/>
      <right/>
      <top style="thin">
        <color theme="0" tint="-0.14999847407452621"/>
      </top>
      <bottom style="thin">
        <color theme="2"/>
      </bottom>
      <diagonal/>
    </border>
    <border>
      <left/>
      <right style="thin">
        <color theme="0" tint="-0.14999847407452621"/>
      </right>
      <top style="thin">
        <color theme="0" tint="-0.14999847407452621"/>
      </top>
      <bottom style="thin">
        <color theme="2"/>
      </bottom>
      <diagonal/>
    </border>
    <border>
      <left/>
      <right/>
      <top style="thin">
        <color theme="0" tint="-0.249977111117893"/>
      </top>
      <bottom style="thin">
        <color theme="2"/>
      </bottom>
      <diagonal/>
    </border>
    <border>
      <left/>
      <right style="thin">
        <color theme="2"/>
      </right>
      <top style="thin">
        <color theme="0" tint="-0.14999847407452621"/>
      </top>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applyNumberFormat="0" applyFill="0" applyBorder="0" applyAlignment="0" applyProtection="0"/>
    <xf numFmtId="0" fontId="16" fillId="0" borderId="0" applyNumberFormat="0" applyFill="0" applyBorder="0" applyAlignment="0" applyProtection="0"/>
    <xf numFmtId="0" fontId="31" fillId="19" borderId="0" applyNumberFormat="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4" fillId="0" borderId="81" applyNumberFormat="0" applyFill="0" applyAlignment="0" applyProtection="0"/>
    <xf numFmtId="0" fontId="65" fillId="0" borderId="82" applyNumberFormat="0" applyFill="0" applyAlignment="0" applyProtection="0"/>
    <xf numFmtId="0" fontId="66" fillId="0" borderId="83" applyNumberFormat="0" applyFill="0" applyAlignment="0" applyProtection="0"/>
    <xf numFmtId="0" fontId="66" fillId="0" borderId="0" applyNumberFormat="0" applyFill="0" applyBorder="0" applyAlignment="0" applyProtection="0"/>
    <xf numFmtId="0" fontId="67" fillId="30" borderId="0" applyNumberFormat="0" applyBorder="0" applyAlignment="0" applyProtection="0"/>
    <xf numFmtId="0" fontId="68" fillId="31" borderId="0" applyNumberFormat="0" applyBorder="0" applyAlignment="0" applyProtection="0"/>
    <xf numFmtId="0" fontId="69" fillId="32" borderId="84" applyNumberFormat="0" applyAlignment="0" applyProtection="0"/>
    <xf numFmtId="0" fontId="70" fillId="33" borderId="85" applyNumberFormat="0" applyAlignment="0" applyProtection="0"/>
    <xf numFmtId="0" fontId="71" fillId="33" borderId="84" applyNumberFormat="0" applyAlignment="0" applyProtection="0"/>
    <xf numFmtId="0" fontId="72" fillId="0" borderId="86" applyNumberFormat="0" applyFill="0" applyAlignment="0" applyProtection="0"/>
    <xf numFmtId="0" fontId="73" fillId="34" borderId="87" applyNumberFormat="0" applyAlignment="0" applyProtection="0"/>
    <xf numFmtId="0" fontId="30" fillId="0" borderId="0" applyNumberFormat="0" applyFill="0" applyBorder="0" applyAlignment="0" applyProtection="0"/>
    <xf numFmtId="0" fontId="1" fillId="35" borderId="88" applyNumberFormat="0" applyFont="0" applyAlignment="0" applyProtection="0"/>
    <xf numFmtId="0" fontId="74" fillId="0" borderId="0" applyNumberFormat="0" applyFill="0" applyBorder="0" applyAlignment="0" applyProtection="0"/>
    <xf numFmtId="0" fontId="11" fillId="0" borderId="89" applyNumberFormat="0" applyFill="0" applyAlignment="0" applyProtection="0"/>
    <xf numFmtId="0" fontId="1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2"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2"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cellStyleXfs>
  <cellXfs count="429">
    <xf numFmtId="0" fontId="0" fillId="0" borderId="0" xfId="0"/>
    <xf numFmtId="0" fontId="6" fillId="4" borderId="7" xfId="0" applyFont="1" applyFill="1" applyBorder="1" applyAlignment="1">
      <alignment horizontal="right" wrapText="1"/>
    </xf>
    <xf numFmtId="165" fontId="3" fillId="5" borderId="0" xfId="1" applyNumberFormat="1" applyFont="1" applyFill="1" applyAlignment="1">
      <alignment horizontal="right" vertical="center"/>
    </xf>
    <xf numFmtId="2" fontId="3" fillId="5" borderId="0" xfId="1" applyNumberFormat="1" applyFont="1" applyFill="1" applyAlignment="1">
      <alignment horizontal="right" vertical="center"/>
    </xf>
    <xf numFmtId="166" fontId="3" fillId="5" borderId="0" xfId="1" applyNumberFormat="1" applyFont="1" applyFill="1" applyAlignment="1">
      <alignment horizontal="right" vertical="center"/>
    </xf>
    <xf numFmtId="2" fontId="2" fillId="5" borderId="0" xfId="0" applyNumberFormat="1" applyFont="1" applyFill="1" applyAlignment="1">
      <alignment horizontal="right" vertical="center" wrapText="1"/>
    </xf>
    <xf numFmtId="2" fontId="3" fillId="5" borderId="0" xfId="0" applyNumberFormat="1" applyFont="1" applyFill="1" applyAlignment="1">
      <alignment horizontal="right" vertical="center"/>
    </xf>
    <xf numFmtId="0" fontId="3" fillId="5" borderId="0" xfId="0" applyFont="1" applyFill="1" applyAlignment="1">
      <alignment vertical="center"/>
    </xf>
    <xf numFmtId="0" fontId="5" fillId="5" borderId="0" xfId="0" applyFont="1" applyFill="1" applyAlignment="1">
      <alignment vertical="top" wrapText="1"/>
    </xf>
    <xf numFmtId="0" fontId="4" fillId="5" borderId="0" xfId="0" applyFont="1" applyFill="1" applyAlignment="1">
      <alignment vertical="top" wrapText="1"/>
    </xf>
    <xf numFmtId="0" fontId="10" fillId="5" borderId="0" xfId="0" applyFont="1" applyFill="1" applyAlignment="1">
      <alignment vertical="center"/>
    </xf>
    <xf numFmtId="0" fontId="13" fillId="5" borderId="0" xfId="0" applyFont="1" applyFill="1" applyAlignment="1" applyProtection="1">
      <alignment horizontal="right" vertical="center" indent="1"/>
      <protection hidden="1"/>
    </xf>
    <xf numFmtId="0" fontId="14" fillId="5" borderId="0" xfId="0" applyFont="1" applyFill="1" applyAlignment="1" applyProtection="1">
      <alignment horizontal="right" vertical="center"/>
      <protection hidden="1"/>
    </xf>
    <xf numFmtId="0" fontId="13" fillId="5" borderId="0" xfId="0" applyFont="1" applyFill="1" applyAlignment="1" applyProtection="1">
      <alignment horizontal="right" vertical="center" wrapText="1" indent="1"/>
      <protection hidden="1"/>
    </xf>
    <xf numFmtId="0" fontId="18" fillId="5" borderId="0" xfId="0" applyFont="1" applyFill="1"/>
    <xf numFmtId="0" fontId="15" fillId="5" borderId="0" xfId="0" applyFont="1" applyFill="1"/>
    <xf numFmtId="0" fontId="20" fillId="5" borderId="0" xfId="0" applyFont="1" applyFill="1" applyAlignment="1" applyProtection="1">
      <alignment horizontal="right" vertical="center" indent="1"/>
      <protection hidden="1"/>
    </xf>
    <xf numFmtId="0" fontId="20" fillId="5" borderId="0" xfId="0" applyFont="1" applyFill="1" applyAlignment="1" applyProtection="1">
      <alignment horizontal="right" wrapText="1" indent="1"/>
      <protection hidden="1"/>
    </xf>
    <xf numFmtId="0" fontId="20" fillId="5" borderId="0" xfId="0" applyFont="1" applyFill="1" applyAlignment="1" applyProtection="1">
      <alignment horizontal="right" wrapText="1"/>
      <protection hidden="1"/>
    </xf>
    <xf numFmtId="0" fontId="7" fillId="3" borderId="4" xfId="0" applyFont="1" applyFill="1" applyBorder="1" applyAlignment="1">
      <alignment vertical="center" wrapText="1"/>
    </xf>
    <xf numFmtId="0" fontId="7" fillId="3" borderId="2" xfId="0" applyFont="1" applyFill="1" applyBorder="1" applyAlignment="1">
      <alignment vertical="center" wrapText="1"/>
    </xf>
    <xf numFmtId="0" fontId="6" fillId="3" borderId="2" xfId="0" applyFont="1" applyFill="1" applyBorder="1" applyAlignment="1">
      <alignment vertical="center" wrapText="1"/>
    </xf>
    <xf numFmtId="0" fontId="24" fillId="0" borderId="0" xfId="0" applyFont="1"/>
    <xf numFmtId="2" fontId="24" fillId="0" borderId="0" xfId="0" applyNumberFormat="1" applyFont="1"/>
    <xf numFmtId="0" fontId="11" fillId="11" borderId="0" xfId="0" applyFont="1" applyFill="1"/>
    <xf numFmtId="0" fontId="11" fillId="0" borderId="0" xfId="0" applyFont="1"/>
    <xf numFmtId="14" fontId="0" fillId="0" borderId="0" xfId="0" applyNumberFormat="1"/>
    <xf numFmtId="10" fontId="0" fillId="0" borderId="0" xfId="2" applyNumberFormat="1" applyFont="1"/>
    <xf numFmtId="0" fontId="0" fillId="18" borderId="0" xfId="0" applyFill="1"/>
    <xf numFmtId="0" fontId="0" fillId="17" borderId="0" xfId="0" applyFill="1"/>
    <xf numFmtId="0" fontId="0" fillId="11" borderId="0" xfId="0" applyFill="1"/>
    <xf numFmtId="0" fontId="0" fillId="0" borderId="0" xfId="0" applyAlignment="1">
      <alignment wrapText="1"/>
    </xf>
    <xf numFmtId="2" fontId="0" fillId="0" borderId="0" xfId="0" applyNumberFormat="1"/>
    <xf numFmtId="165" fontId="0" fillId="0" borderId="0" xfId="1" applyNumberFormat="1" applyFont="1"/>
    <xf numFmtId="0" fontId="21" fillId="5" borderId="0" xfId="0" applyFont="1" applyFill="1" applyAlignment="1">
      <alignment horizontal="left" vertical="center"/>
    </xf>
    <xf numFmtId="49" fontId="34" fillId="5" borderId="0" xfId="0" applyNumberFormat="1" applyFont="1" applyFill="1" applyAlignment="1">
      <alignment horizontal="right" vertical="center"/>
    </xf>
    <xf numFmtId="0" fontId="7" fillId="20" borderId="4" xfId="0" applyFont="1" applyFill="1" applyBorder="1" applyAlignment="1">
      <alignment vertical="center" wrapText="1"/>
    </xf>
    <xf numFmtId="0" fontId="7" fillId="20" borderId="2" xfId="0" applyFont="1" applyFill="1" applyBorder="1" applyAlignment="1">
      <alignment vertical="center" wrapText="1"/>
    </xf>
    <xf numFmtId="0" fontId="6" fillId="20" borderId="2" xfId="0" applyFont="1" applyFill="1" applyBorder="1" applyAlignment="1">
      <alignment vertical="center" wrapText="1"/>
    </xf>
    <xf numFmtId="0" fontId="3" fillId="0" borderId="1" xfId="0" applyFont="1" applyBorder="1" applyAlignment="1" applyProtection="1">
      <alignment horizontal="right" vertical="center" wrapText="1"/>
      <protection hidden="1"/>
    </xf>
    <xf numFmtId="10" fontId="0" fillId="0" borderId="0" xfId="2" applyNumberFormat="1" applyFont="1" applyAlignment="1">
      <alignment horizontal="right"/>
    </xf>
    <xf numFmtId="0" fontId="25" fillId="0" borderId="1" xfId="0" applyFont="1" applyBorder="1" applyAlignment="1">
      <alignment horizontal="right" vertical="center" wrapText="1"/>
    </xf>
    <xf numFmtId="14" fontId="2" fillId="0" borderId="0" xfId="0" applyNumberFormat="1" applyFont="1" applyAlignment="1">
      <alignment horizontal="right"/>
    </xf>
    <xf numFmtId="14" fontId="3" fillId="0" borderId="0" xfId="0" applyNumberFormat="1" applyFont="1" applyAlignment="1">
      <alignment horizontal="right"/>
    </xf>
    <xf numFmtId="0" fontId="5" fillId="5" borderId="0" xfId="0" applyFont="1" applyFill="1" applyAlignment="1">
      <alignment horizontal="left" vertical="top" wrapText="1"/>
    </xf>
    <xf numFmtId="0" fontId="35" fillId="5" borderId="24" xfId="0" applyFont="1" applyFill="1" applyBorder="1" applyAlignment="1">
      <alignment horizontal="right" vertical="center"/>
    </xf>
    <xf numFmtId="0" fontId="35" fillId="5" borderId="26" xfId="0" applyFont="1" applyFill="1" applyBorder="1" applyAlignment="1">
      <alignment horizontal="right" vertical="center"/>
    </xf>
    <xf numFmtId="0" fontId="35" fillId="5" borderId="28" xfId="0" applyFont="1" applyFill="1" applyBorder="1" applyAlignment="1">
      <alignment horizontal="right" vertical="center"/>
    </xf>
    <xf numFmtId="0" fontId="37" fillId="5" borderId="0" xfId="0" applyFont="1" applyFill="1" applyAlignment="1" applyProtection="1">
      <alignment horizontal="left" indent="1"/>
      <protection hidden="1"/>
    </xf>
    <xf numFmtId="0" fontId="37" fillId="5" borderId="0" xfId="0" applyFont="1" applyFill="1" applyProtection="1">
      <protection hidden="1"/>
    </xf>
    <xf numFmtId="0" fontId="27" fillId="5" borderId="0" xfId="0" applyFont="1" applyFill="1" applyProtection="1">
      <protection locked="0" hidden="1"/>
    </xf>
    <xf numFmtId="14" fontId="38" fillId="5" borderId="0" xfId="0" applyNumberFormat="1" applyFont="1" applyFill="1" applyAlignment="1" applyProtection="1">
      <alignment horizontal="left" indent="1"/>
      <protection locked="0" hidden="1"/>
    </xf>
    <xf numFmtId="0" fontId="41" fillId="5" borderId="0" xfId="0" applyFont="1" applyFill="1" applyAlignment="1">
      <alignment horizontal="left" vertical="center"/>
    </xf>
    <xf numFmtId="0" fontId="4" fillId="5" borderId="0" xfId="0" applyFont="1" applyFill="1" applyAlignment="1">
      <alignment vertical="top"/>
    </xf>
    <xf numFmtId="0" fontId="5" fillId="8" borderId="12" xfId="0" applyFont="1" applyFill="1" applyBorder="1" applyAlignment="1">
      <alignment vertical="top" wrapText="1"/>
    </xf>
    <xf numFmtId="0" fontId="42" fillId="5" borderId="0" xfId="5" applyFont="1" applyFill="1" applyAlignment="1">
      <alignment horizontal="left" vertical="top"/>
    </xf>
    <xf numFmtId="0" fontId="43" fillId="5" borderId="0" xfId="0" applyFont="1" applyFill="1" applyAlignment="1" applyProtection="1">
      <alignment vertical="center"/>
      <protection hidden="1"/>
    </xf>
    <xf numFmtId="0" fontId="33" fillId="5" borderId="0" xfId="0" applyFont="1" applyFill="1" applyAlignment="1" applyProtection="1">
      <alignment horizontal="right" vertical="center"/>
      <protection hidden="1"/>
    </xf>
    <xf numFmtId="0" fontId="33" fillId="5" borderId="0" xfId="0" applyFont="1" applyFill="1" applyAlignment="1" applyProtection="1">
      <alignment vertical="center"/>
      <protection hidden="1"/>
    </xf>
    <xf numFmtId="0" fontId="15" fillId="5" borderId="0" xfId="0" applyFont="1" applyFill="1" applyAlignment="1">
      <alignment vertical="top" wrapText="1"/>
    </xf>
    <xf numFmtId="0" fontId="13" fillId="5" borderId="0" xfId="0" applyFont="1" applyFill="1" applyAlignment="1">
      <alignment vertical="top" wrapText="1"/>
    </xf>
    <xf numFmtId="0" fontId="45" fillId="5" borderId="0" xfId="0" applyFont="1" applyFill="1" applyAlignment="1">
      <alignment horizontal="right"/>
    </xf>
    <xf numFmtId="0" fontId="40" fillId="5" borderId="0" xfId="5" applyFont="1" applyFill="1"/>
    <xf numFmtId="0" fontId="20" fillId="6" borderId="0" xfId="0" applyFont="1" applyFill="1" applyAlignment="1">
      <alignment horizontal="center" vertical="center" wrapText="1"/>
    </xf>
    <xf numFmtId="0" fontId="15" fillId="0" borderId="0" xfId="0" applyFont="1"/>
    <xf numFmtId="0" fontId="15" fillId="5" borderId="0" xfId="0" applyFont="1" applyFill="1" applyAlignment="1">
      <alignment vertical="center"/>
    </xf>
    <xf numFmtId="0" fontId="50" fillId="5" borderId="0" xfId="5" applyFont="1" applyFill="1" applyAlignment="1">
      <alignment vertical="center" wrapText="1"/>
    </xf>
    <xf numFmtId="0" fontId="15" fillId="0" borderId="0" xfId="0" applyFont="1" applyAlignment="1">
      <alignment vertical="center"/>
    </xf>
    <xf numFmtId="0" fontId="49" fillId="5" borderId="0" xfId="0" applyFont="1" applyFill="1" applyAlignment="1">
      <alignment horizontal="left" vertical="center" wrapText="1"/>
    </xf>
    <xf numFmtId="0" fontId="15" fillId="5" borderId="0" xfId="0" applyFont="1" applyFill="1" applyAlignment="1">
      <alignment vertical="top"/>
    </xf>
    <xf numFmtId="0" fontId="15" fillId="0" borderId="0" xfId="0" applyFont="1" applyAlignment="1">
      <alignment vertical="top"/>
    </xf>
    <xf numFmtId="0" fontId="13" fillId="5" borderId="0" xfId="0" applyFont="1" applyFill="1" applyProtection="1">
      <protection hidden="1"/>
    </xf>
    <xf numFmtId="0" fontId="13" fillId="5" borderId="0" xfId="0" applyFont="1" applyFill="1" applyAlignment="1" applyProtection="1">
      <alignment horizontal="left" indent="1"/>
      <protection hidden="1"/>
    </xf>
    <xf numFmtId="0" fontId="15" fillId="5" borderId="0" xfId="0" applyFont="1" applyFill="1" applyAlignment="1" applyProtection="1">
      <alignment vertical="center"/>
      <protection hidden="1"/>
    </xf>
    <xf numFmtId="0" fontId="15" fillId="26" borderId="0" xfId="0" applyFont="1" applyFill="1" applyAlignment="1" applyProtection="1">
      <alignment vertical="center"/>
      <protection hidden="1"/>
    </xf>
    <xf numFmtId="0" fontId="15" fillId="26" borderId="0" xfId="0" applyFont="1" applyFill="1"/>
    <xf numFmtId="0" fontId="13" fillId="5" borderId="0" xfId="0" applyFont="1" applyFill="1" applyAlignment="1" applyProtection="1">
      <alignment horizontal="left" wrapText="1" indent="1"/>
      <protection hidden="1"/>
    </xf>
    <xf numFmtId="0" fontId="13" fillId="5" borderId="0" xfId="0" applyFont="1" applyFill="1" applyAlignment="1" applyProtection="1">
      <alignment horizontal="left" vertical="center" wrapText="1" indent="1"/>
      <protection hidden="1"/>
    </xf>
    <xf numFmtId="0" fontId="14" fillId="5" borderId="0" xfId="0" applyFont="1" applyFill="1" applyProtection="1">
      <protection locked="0" hidden="1"/>
    </xf>
    <xf numFmtId="0" fontId="13" fillId="5" borderId="0" xfId="0" applyFont="1" applyFill="1" applyAlignment="1" applyProtection="1">
      <alignment horizontal="left" vertical="center" indent="1"/>
      <protection hidden="1"/>
    </xf>
    <xf numFmtId="0" fontId="13" fillId="5" borderId="0" xfId="0" applyFont="1" applyFill="1" applyAlignment="1">
      <alignment horizontal="center"/>
    </xf>
    <xf numFmtId="0" fontId="13" fillId="5" borderId="0" xfId="0" applyFont="1" applyFill="1"/>
    <xf numFmtId="0" fontId="36" fillId="25" borderId="40" xfId="0" applyFont="1" applyFill="1" applyBorder="1" applyAlignment="1">
      <alignment horizontal="left" vertical="top" wrapText="1" indent="1"/>
    </xf>
    <xf numFmtId="0" fontId="36" fillId="10" borderId="40" xfId="0" applyFont="1" applyFill="1" applyBorder="1" applyAlignment="1">
      <alignment horizontal="left" vertical="top" wrapText="1" indent="1"/>
    </xf>
    <xf numFmtId="0" fontId="53" fillId="5" borderId="0" xfId="0" applyFont="1" applyFill="1"/>
    <xf numFmtId="14" fontId="36" fillId="14" borderId="11" xfId="0" applyNumberFormat="1" applyFont="1" applyFill="1" applyBorder="1" applyAlignment="1">
      <alignment horizontal="right" vertical="center" indent="1"/>
    </xf>
    <xf numFmtId="14" fontId="36" fillId="5" borderId="18" xfId="0" applyNumberFormat="1" applyFont="1" applyFill="1" applyBorder="1" applyAlignment="1">
      <alignment horizontal="right" vertical="center" indent="1"/>
    </xf>
    <xf numFmtId="14" fontId="36" fillId="5" borderId="19" xfId="0" applyNumberFormat="1" applyFont="1" applyFill="1" applyBorder="1" applyAlignment="1">
      <alignment horizontal="right" vertical="center" indent="1"/>
    </xf>
    <xf numFmtId="14" fontId="36" fillId="5" borderId="19" xfId="1" applyNumberFormat="1" applyFont="1" applyFill="1" applyBorder="1" applyAlignment="1">
      <alignment horizontal="right" vertical="center" indent="1"/>
    </xf>
    <xf numFmtId="14" fontId="36" fillId="5" borderId="29" xfId="0" applyNumberFormat="1" applyFont="1" applyFill="1" applyBorder="1" applyAlignment="1">
      <alignment horizontal="right" vertical="center" indent="1"/>
    </xf>
    <xf numFmtId="167" fontId="15" fillId="5" borderId="0" xfId="0" applyNumberFormat="1" applyFont="1" applyFill="1"/>
    <xf numFmtId="0" fontId="33" fillId="0" borderId="0" xfId="0" applyFont="1"/>
    <xf numFmtId="0" fontId="0" fillId="5" borderId="0" xfId="0" applyFill="1"/>
    <xf numFmtId="0" fontId="43" fillId="26" borderId="56" xfId="0" applyFont="1" applyFill="1" applyBorder="1" applyAlignment="1" applyProtection="1">
      <alignment horizontal="right" vertical="center"/>
      <protection hidden="1"/>
    </xf>
    <xf numFmtId="0" fontId="41" fillId="5" borderId="0" xfId="0" applyFont="1" applyFill="1"/>
    <xf numFmtId="0" fontId="15" fillId="14" borderId="3" xfId="0" applyFont="1" applyFill="1" applyBorder="1" applyAlignment="1">
      <alignment horizontal="right" vertical="center"/>
    </xf>
    <xf numFmtId="0" fontId="57" fillId="5" borderId="0" xfId="0" applyFont="1" applyFill="1" applyAlignment="1">
      <alignment horizontal="left" vertical="center"/>
    </xf>
    <xf numFmtId="0" fontId="15" fillId="26" borderId="56" xfId="0" applyFont="1" applyFill="1" applyBorder="1" applyAlignment="1" applyProtection="1">
      <alignment vertical="center"/>
      <protection hidden="1"/>
    </xf>
    <xf numFmtId="0" fontId="27" fillId="5" borderId="60" xfId="0" applyFont="1" applyFill="1" applyBorder="1" applyAlignment="1">
      <alignment horizontal="right" wrapText="1" indent="1"/>
    </xf>
    <xf numFmtId="0" fontId="27" fillId="5" borderId="59" xfId="0" applyFont="1" applyFill="1" applyBorder="1" applyAlignment="1">
      <alignment horizontal="right" wrapText="1" indent="1"/>
    </xf>
    <xf numFmtId="0" fontId="18" fillId="5" borderId="0" xfId="0" applyFont="1" applyFill="1" applyAlignment="1">
      <alignment horizontal="left" vertical="center"/>
    </xf>
    <xf numFmtId="0" fontId="15" fillId="5" borderId="0" xfId="0" applyFont="1" applyFill="1" applyAlignment="1">
      <alignment horizontal="left" vertical="center" indent="1"/>
    </xf>
    <xf numFmtId="0" fontId="15" fillId="0" borderId="0" xfId="0" applyFont="1" applyAlignment="1">
      <alignment horizontal="left" vertical="center" indent="1"/>
    </xf>
    <xf numFmtId="0" fontId="25" fillId="5" borderId="0" xfId="0" applyFont="1" applyFill="1" applyAlignment="1" applyProtection="1">
      <alignment horizontal="left" vertical="center" wrapText="1" indent="1"/>
      <protection hidden="1"/>
    </xf>
    <xf numFmtId="0" fontId="23" fillId="5" borderId="0" xfId="0" applyFont="1" applyFill="1" applyAlignment="1" applyProtection="1">
      <alignment horizontal="left" vertical="center" wrapText="1" indent="1"/>
      <protection hidden="1"/>
    </xf>
    <xf numFmtId="10" fontId="15" fillId="5" borderId="26" xfId="2" applyNumberFormat="1" applyFont="1" applyFill="1" applyBorder="1" applyAlignment="1">
      <alignment horizontal="right" vertical="center" indent="1"/>
    </xf>
    <xf numFmtId="2" fontId="36" fillId="14" borderId="8" xfId="0" applyNumberFormat="1" applyFont="1" applyFill="1" applyBorder="1" applyAlignment="1">
      <alignment horizontal="right" vertical="center" indent="1"/>
    </xf>
    <xf numFmtId="0" fontId="61" fillId="5" borderId="0" xfId="0" applyFont="1" applyFill="1" applyAlignment="1">
      <alignment vertical="center"/>
    </xf>
    <xf numFmtId="0" fontId="41" fillId="5" borderId="0" xfId="0" applyFont="1" applyFill="1" applyAlignment="1">
      <alignment vertical="top"/>
    </xf>
    <xf numFmtId="0" fontId="27" fillId="5" borderId="0" xfId="0" applyFont="1" applyFill="1" applyAlignment="1">
      <alignment horizontal="center" vertical="center" wrapText="1"/>
    </xf>
    <xf numFmtId="2" fontId="36" fillId="5" borderId="0" xfId="0" applyNumberFormat="1" applyFont="1" applyFill="1" applyAlignment="1">
      <alignment horizontal="center" vertical="center"/>
    </xf>
    <xf numFmtId="10" fontId="15" fillId="14" borderId="3" xfId="2" applyNumberFormat="1" applyFont="1" applyFill="1" applyBorder="1" applyAlignment="1">
      <alignment horizontal="right" vertical="center" indent="1"/>
    </xf>
    <xf numFmtId="10" fontId="15" fillId="5" borderId="24" xfId="2" applyNumberFormat="1" applyFont="1" applyFill="1" applyBorder="1" applyAlignment="1">
      <alignment horizontal="right" vertical="center" indent="1"/>
    </xf>
    <xf numFmtId="10" fontId="15" fillId="5" borderId="28" xfId="2" applyNumberFormat="1" applyFont="1" applyFill="1" applyBorder="1" applyAlignment="1">
      <alignment horizontal="right" vertical="center" indent="1"/>
    </xf>
    <xf numFmtId="2" fontId="36" fillId="2" borderId="25" xfId="0" applyNumberFormat="1" applyFont="1" applyFill="1" applyBorder="1" applyAlignment="1">
      <alignment horizontal="right" vertical="center" indent="1"/>
    </xf>
    <xf numFmtId="2" fontId="36" fillId="2" borderId="27" xfId="0" applyNumberFormat="1" applyFont="1" applyFill="1" applyBorder="1" applyAlignment="1">
      <alignment horizontal="right" vertical="center" indent="1"/>
    </xf>
    <xf numFmtId="2" fontId="36" fillId="2" borderId="30" xfId="0" applyNumberFormat="1" applyFont="1" applyFill="1" applyBorder="1" applyAlignment="1">
      <alignment horizontal="right" vertical="center" indent="1"/>
    </xf>
    <xf numFmtId="10" fontId="15" fillId="14" borderId="8" xfId="2" applyNumberFormat="1" applyFont="1" applyFill="1" applyBorder="1" applyAlignment="1">
      <alignment horizontal="right" vertical="center" indent="1"/>
    </xf>
    <xf numFmtId="10" fontId="15" fillId="2" borderId="4" xfId="2" applyNumberFormat="1" applyFont="1" applyFill="1" applyBorder="1" applyAlignment="1">
      <alignment horizontal="right" vertical="center" indent="1"/>
    </xf>
    <xf numFmtId="10" fontId="15" fillId="5" borderId="9" xfId="2" applyNumberFormat="1" applyFont="1" applyFill="1" applyBorder="1" applyAlignment="1">
      <alignment horizontal="right" vertical="center" indent="1"/>
    </xf>
    <xf numFmtId="10" fontId="15" fillId="2" borderId="5" xfId="2" applyNumberFormat="1" applyFont="1" applyFill="1" applyBorder="1" applyAlignment="1">
      <alignment horizontal="right" vertical="center" indent="1"/>
    </xf>
    <xf numFmtId="10" fontId="15" fillId="5" borderId="10" xfId="2" applyNumberFormat="1" applyFont="1" applyFill="1" applyBorder="1" applyAlignment="1">
      <alignment horizontal="right" vertical="center" indent="1"/>
    </xf>
    <xf numFmtId="10" fontId="15" fillId="14" borderId="69" xfId="2" applyNumberFormat="1" applyFont="1" applyFill="1" applyBorder="1" applyAlignment="1">
      <alignment horizontal="right" vertical="center" indent="1"/>
    </xf>
    <xf numFmtId="10" fontId="15" fillId="5" borderId="74" xfId="2" applyNumberFormat="1" applyFont="1" applyFill="1" applyBorder="1" applyAlignment="1">
      <alignment horizontal="right" vertical="center" indent="1"/>
    </xf>
    <xf numFmtId="10" fontId="15" fillId="5" borderId="31" xfId="2" applyNumberFormat="1" applyFont="1" applyFill="1" applyBorder="1" applyAlignment="1">
      <alignment horizontal="right" vertical="center" indent="1"/>
    </xf>
    <xf numFmtId="10" fontId="15" fillId="5" borderId="75" xfId="2" applyNumberFormat="1" applyFont="1" applyFill="1" applyBorder="1" applyAlignment="1">
      <alignment horizontal="right" vertical="center" indent="1"/>
    </xf>
    <xf numFmtId="0" fontId="59" fillId="0" borderId="0" xfId="0" applyFont="1"/>
    <xf numFmtId="0" fontId="36" fillId="25" borderId="43" xfId="0" applyFont="1" applyFill="1" applyBorder="1" applyAlignment="1">
      <alignment horizontal="left" vertical="top" wrapText="1" indent="1"/>
    </xf>
    <xf numFmtId="165" fontId="0" fillId="0" borderId="0" xfId="1" applyNumberFormat="1" applyFont="1" applyAlignment="1">
      <alignment horizontal="right" indent="1"/>
    </xf>
    <xf numFmtId="165" fontId="0" fillId="28" borderId="0" xfId="1" applyNumberFormat="1" applyFont="1" applyFill="1"/>
    <xf numFmtId="165" fontId="0" fillId="8" borderId="0" xfId="1" quotePrefix="1" applyNumberFormat="1" applyFont="1" applyFill="1"/>
    <xf numFmtId="165" fontId="0" fillId="8" borderId="0" xfId="1" applyNumberFormat="1" applyFont="1" applyFill="1"/>
    <xf numFmtId="10" fontId="0" fillId="8" borderId="0" xfId="2" applyNumberFormat="1" applyFont="1" applyFill="1" applyAlignment="1">
      <alignment horizontal="right"/>
    </xf>
    <xf numFmtId="3" fontId="0" fillId="0" borderId="0" xfId="0" applyNumberFormat="1"/>
    <xf numFmtId="0" fontId="17" fillId="0" borderId="0" xfId="0" applyFont="1"/>
    <xf numFmtId="3" fontId="15" fillId="14" borderId="11" xfId="1" applyNumberFormat="1" applyFont="1" applyFill="1" applyBorder="1" applyAlignment="1">
      <alignment horizontal="right" vertical="center" indent="1"/>
    </xf>
    <xf numFmtId="3" fontId="36" fillId="14" borderId="11" xfId="1" applyNumberFormat="1" applyFont="1" applyFill="1" applyBorder="1" applyAlignment="1">
      <alignment horizontal="right" vertical="center" indent="1"/>
    </xf>
    <xf numFmtId="3" fontId="36" fillId="14" borderId="11" xfId="0" applyNumberFormat="1" applyFont="1" applyFill="1" applyBorder="1" applyAlignment="1">
      <alignment horizontal="right" vertical="center" indent="1"/>
    </xf>
    <xf numFmtId="3" fontId="15" fillId="5" borderId="18" xfId="1" applyNumberFormat="1" applyFont="1" applyFill="1" applyBorder="1" applyAlignment="1">
      <alignment horizontal="right" vertical="center" indent="1"/>
    </xf>
    <xf numFmtId="3" fontId="36" fillId="5" borderId="18" xfId="1" applyNumberFormat="1" applyFont="1" applyFill="1" applyBorder="1" applyAlignment="1">
      <alignment horizontal="right" vertical="center" indent="1"/>
    </xf>
    <xf numFmtId="3" fontId="15" fillId="5" borderId="18" xfId="0" applyNumberFormat="1" applyFont="1" applyFill="1" applyBorder="1" applyAlignment="1">
      <alignment horizontal="right" vertical="center" wrapText="1" indent="1"/>
    </xf>
    <xf numFmtId="3" fontId="36" fillId="5" borderId="18" xfId="0" applyNumberFormat="1" applyFont="1" applyFill="1" applyBorder="1" applyAlignment="1">
      <alignment horizontal="right" vertical="center" indent="1"/>
    </xf>
    <xf numFmtId="3" fontId="15" fillId="5" borderId="19" xfId="1" applyNumberFormat="1" applyFont="1" applyFill="1" applyBorder="1" applyAlignment="1">
      <alignment horizontal="right" vertical="center" indent="1"/>
    </xf>
    <xf numFmtId="3" fontId="36" fillId="5" borderId="19" xfId="1" applyNumberFormat="1" applyFont="1" applyFill="1" applyBorder="1" applyAlignment="1">
      <alignment horizontal="right" vertical="center" indent="1"/>
    </xf>
    <xf numFmtId="3" fontId="15" fillId="5" borderId="19" xfId="0" applyNumberFormat="1" applyFont="1" applyFill="1" applyBorder="1" applyAlignment="1">
      <alignment horizontal="right" vertical="center" wrapText="1" indent="1"/>
    </xf>
    <xf numFmtId="3" fontId="36" fillId="5" borderId="19" xfId="0" applyNumberFormat="1" applyFont="1" applyFill="1" applyBorder="1" applyAlignment="1">
      <alignment horizontal="right" vertical="center" indent="1"/>
    </xf>
    <xf numFmtId="3" fontId="15" fillId="5" borderId="19" xfId="1" quotePrefix="1" applyNumberFormat="1" applyFont="1" applyFill="1" applyBorder="1" applyAlignment="1">
      <alignment horizontal="right" vertical="center" indent="1"/>
    </xf>
    <xf numFmtId="3" fontId="15" fillId="5" borderId="18" xfId="0" applyNumberFormat="1" applyFont="1" applyFill="1" applyBorder="1" applyAlignment="1">
      <alignment horizontal="right" vertical="center" indent="1"/>
    </xf>
    <xf numFmtId="3" fontId="15" fillId="5" borderId="19" xfId="0" applyNumberFormat="1" applyFont="1" applyFill="1" applyBorder="1" applyAlignment="1">
      <alignment horizontal="right" vertical="center" indent="1"/>
    </xf>
    <xf numFmtId="3" fontId="15" fillId="14" borderId="11" xfId="0" applyNumberFormat="1" applyFont="1" applyFill="1" applyBorder="1" applyAlignment="1">
      <alignment horizontal="right" vertical="center" indent="1"/>
    </xf>
    <xf numFmtId="3" fontId="15" fillId="5" borderId="29" xfId="1" applyNumberFormat="1" applyFont="1" applyFill="1" applyBorder="1" applyAlignment="1">
      <alignment horizontal="right" vertical="center" indent="1"/>
    </xf>
    <xf numFmtId="3" fontId="36" fillId="5" borderId="29" xfId="1" applyNumberFormat="1" applyFont="1" applyFill="1" applyBorder="1" applyAlignment="1">
      <alignment horizontal="right" vertical="center" indent="1"/>
    </xf>
    <xf numFmtId="3" fontId="15" fillId="5" borderId="29" xfId="0" applyNumberFormat="1" applyFont="1" applyFill="1" applyBorder="1" applyAlignment="1">
      <alignment horizontal="right" vertical="center" wrapText="1" indent="1"/>
    </xf>
    <xf numFmtId="3" fontId="36" fillId="5" borderId="29" xfId="0" applyNumberFormat="1" applyFont="1" applyFill="1" applyBorder="1" applyAlignment="1">
      <alignment horizontal="right" vertical="center" indent="1"/>
    </xf>
    <xf numFmtId="3" fontId="15" fillId="5" borderId="29" xfId="0" applyNumberFormat="1" applyFont="1" applyFill="1" applyBorder="1" applyAlignment="1">
      <alignment horizontal="right" vertical="center" indent="1"/>
    </xf>
    <xf numFmtId="0" fontId="75" fillId="0" borderId="0" xfId="0" applyFont="1"/>
    <xf numFmtId="10" fontId="0" fillId="0" borderId="0" xfId="2" applyNumberFormat="1" applyFont="1" applyFill="1" applyAlignment="1">
      <alignment horizontal="right"/>
    </xf>
    <xf numFmtId="0" fontId="15" fillId="5" borderId="0" xfId="0" applyFont="1" applyFill="1" applyAlignment="1">
      <alignment horizontal="right" indent="1"/>
    </xf>
    <xf numFmtId="0" fontId="36" fillId="24" borderId="40" xfId="0" applyFont="1" applyFill="1" applyBorder="1" applyAlignment="1">
      <alignment horizontal="left" vertical="top" wrapText="1" indent="1"/>
    </xf>
    <xf numFmtId="0" fontId="36" fillId="10" borderId="40" xfId="0" applyFont="1" applyFill="1" applyBorder="1" applyAlignment="1">
      <alignment horizontal="left" vertical="top" indent="1"/>
    </xf>
    <xf numFmtId="2" fontId="36" fillId="5" borderId="33" xfId="0" applyNumberFormat="1" applyFont="1" applyFill="1" applyBorder="1" applyAlignment="1">
      <alignment horizontal="center" vertical="top"/>
    </xf>
    <xf numFmtId="0" fontId="53" fillId="13" borderId="40" xfId="0" applyFont="1" applyFill="1" applyBorder="1" applyAlignment="1">
      <alignment horizontal="left" vertical="top" indent="1"/>
    </xf>
    <xf numFmtId="14" fontId="27" fillId="5" borderId="0" xfId="0" applyNumberFormat="1" applyFont="1" applyFill="1" applyAlignment="1" applyProtection="1">
      <alignment horizontal="left" vertical="center" indent="1"/>
      <protection locked="0" hidden="1"/>
    </xf>
    <xf numFmtId="0" fontId="44" fillId="26" borderId="0" xfId="0" quotePrefix="1" applyFont="1" applyFill="1" applyAlignment="1" applyProtection="1">
      <alignment horizontal="right" vertical="top"/>
      <protection hidden="1"/>
    </xf>
    <xf numFmtId="0" fontId="20" fillId="26" borderId="0" xfId="0" quotePrefix="1" applyFont="1" applyFill="1" applyAlignment="1" applyProtection="1">
      <alignment horizontal="right" vertical="center" indent="1"/>
      <protection hidden="1"/>
    </xf>
    <xf numFmtId="0" fontId="36" fillId="26" borderId="0" xfId="0" applyFont="1" applyFill="1" applyAlignment="1">
      <alignment horizontal="right"/>
    </xf>
    <xf numFmtId="0" fontId="52" fillId="5" borderId="0" xfId="0" applyFont="1" applyFill="1" applyAlignment="1">
      <alignment horizontal="right"/>
    </xf>
    <xf numFmtId="4" fontId="15" fillId="5" borderId="0" xfId="0" applyNumberFormat="1" applyFont="1" applyFill="1" applyAlignment="1">
      <alignment horizontal="center" vertical="top" wrapText="1"/>
    </xf>
    <xf numFmtId="0" fontId="36" fillId="5" borderId="0" xfId="0" applyFont="1" applyFill="1" applyAlignment="1">
      <alignment horizontal="right" vertical="top" wrapText="1" indent="1"/>
    </xf>
    <xf numFmtId="0" fontId="36" fillId="5" borderId="0" xfId="0" applyFont="1" applyFill="1" applyAlignment="1">
      <alignment horizontal="left" vertical="top" wrapText="1" indent="1"/>
    </xf>
    <xf numFmtId="0" fontId="20" fillId="5" borderId="0" xfId="0" applyFont="1" applyFill="1" applyAlignment="1">
      <alignment horizontal="center" vertical="top" wrapText="1"/>
    </xf>
    <xf numFmtId="0" fontId="0" fillId="0" borderId="0" xfId="0" applyAlignment="1">
      <alignment horizontal="left" vertical="top"/>
    </xf>
    <xf numFmtId="0" fontId="0" fillId="11" borderId="0" xfId="0" applyFill="1" applyAlignment="1">
      <alignment horizontal="left" vertical="top"/>
    </xf>
    <xf numFmtId="0" fontId="0" fillId="11" borderId="0" xfId="0" applyFill="1" applyAlignment="1">
      <alignment horizontal="left" vertical="top" wrapText="1"/>
    </xf>
    <xf numFmtId="0" fontId="0" fillId="0" borderId="0" xfId="0" applyAlignment="1">
      <alignment horizontal="left" vertical="top" wrapText="1"/>
    </xf>
    <xf numFmtId="0" fontId="0" fillId="9" borderId="0" xfId="0" applyFill="1" applyAlignment="1">
      <alignment horizontal="left" vertical="top" wrapText="1"/>
    </xf>
    <xf numFmtId="3" fontId="15" fillId="5" borderId="32" xfId="0" applyNumberFormat="1" applyFont="1" applyFill="1" applyBorder="1" applyAlignment="1" applyProtection="1">
      <alignment horizontal="right" vertical="center" wrapText="1" indent="1"/>
      <protection hidden="1"/>
    </xf>
    <xf numFmtId="10" fontId="15" fillId="5" borderId="32" xfId="2" applyNumberFormat="1" applyFont="1" applyFill="1" applyBorder="1" applyAlignment="1" applyProtection="1">
      <alignment horizontal="right" vertical="center" wrapText="1" indent="1"/>
      <protection hidden="1"/>
    </xf>
    <xf numFmtId="0" fontId="13" fillId="5" borderId="0" xfId="0" applyFont="1" applyFill="1" applyAlignment="1" applyProtection="1">
      <alignment horizontal="left" vertical="top" wrapText="1"/>
      <protection hidden="1"/>
    </xf>
    <xf numFmtId="3" fontId="15" fillId="5" borderId="32" xfId="0" applyNumberFormat="1" applyFont="1" applyFill="1" applyBorder="1" applyAlignment="1" applyProtection="1">
      <alignment horizontal="right" vertical="top" wrapText="1" indent="1"/>
      <protection hidden="1"/>
    </xf>
    <xf numFmtId="10" fontId="15" fillId="5" borderId="32" xfId="2" applyNumberFormat="1" applyFont="1" applyFill="1" applyBorder="1" applyAlignment="1" applyProtection="1">
      <alignment horizontal="right" vertical="top" wrapText="1" indent="1"/>
      <protection hidden="1"/>
    </xf>
    <xf numFmtId="2" fontId="36" fillId="5" borderId="33" xfId="0" applyNumberFormat="1" applyFont="1" applyFill="1" applyBorder="1" applyAlignment="1">
      <alignment horizontal="right" vertical="top" indent="1"/>
    </xf>
    <xf numFmtId="0" fontId="27" fillId="2" borderId="21" xfId="0" applyFont="1" applyFill="1" applyBorder="1" applyAlignment="1">
      <alignment horizontal="right" vertical="center" wrapText="1" indent="1"/>
    </xf>
    <xf numFmtId="3" fontId="15" fillId="5" borderId="33" xfId="0" applyNumberFormat="1" applyFont="1" applyFill="1" applyBorder="1" applyAlignment="1">
      <alignment horizontal="right" vertical="top" indent="1"/>
    </xf>
    <xf numFmtId="10" fontId="15" fillId="5" borderId="33" xfId="2" applyNumberFormat="1" applyFont="1" applyFill="1" applyBorder="1" applyAlignment="1">
      <alignment horizontal="right" vertical="top" indent="1"/>
    </xf>
    <xf numFmtId="0" fontId="0" fillId="8" borderId="0" xfId="0" applyFill="1" applyAlignment="1">
      <alignment horizontal="left" vertical="top" wrapText="1"/>
    </xf>
    <xf numFmtId="0" fontId="0" fillId="60" borderId="0" xfId="0" applyFill="1" applyAlignment="1">
      <alignment horizontal="left" vertical="top" wrapText="1"/>
    </xf>
    <xf numFmtId="10" fontId="36" fillId="5" borderId="33" xfId="2" applyNumberFormat="1" applyFont="1" applyFill="1" applyBorder="1" applyAlignment="1">
      <alignment horizontal="right" vertical="top" indent="1"/>
    </xf>
    <xf numFmtId="0" fontId="39" fillId="5" borderId="0" xfId="0" applyFont="1" applyFill="1" applyAlignment="1">
      <alignment horizontal="right" indent="1"/>
    </xf>
    <xf numFmtId="10" fontId="15" fillId="5" borderId="0" xfId="2" applyNumberFormat="1" applyFont="1" applyFill="1" applyBorder="1" applyAlignment="1">
      <alignment horizontal="right" vertical="top" indent="1"/>
    </xf>
    <xf numFmtId="0" fontId="36" fillId="25" borderId="91" xfId="0" applyFont="1" applyFill="1" applyBorder="1" applyAlignment="1">
      <alignment horizontal="left" vertical="top" wrapText="1" indent="1"/>
    </xf>
    <xf numFmtId="0" fontId="27" fillId="8" borderId="1" xfId="0" applyFont="1" applyFill="1" applyBorder="1" applyAlignment="1" applyProtection="1">
      <alignment horizontal="right" vertical="center" indent="1"/>
      <protection hidden="1"/>
    </xf>
    <xf numFmtId="0" fontId="46" fillId="5" borderId="0" xfId="0" applyFont="1" applyFill="1" applyAlignment="1">
      <alignment vertical="center" wrapText="1"/>
    </xf>
    <xf numFmtId="0" fontId="56" fillId="5" borderId="0" xfId="5" applyFont="1" applyFill="1" applyBorder="1" applyAlignment="1" applyProtection="1">
      <alignment horizontal="right" vertical="center" indent="1"/>
      <protection hidden="1"/>
    </xf>
    <xf numFmtId="0" fontId="36" fillId="26" borderId="54" xfId="0" applyFont="1" applyFill="1" applyBorder="1" applyAlignment="1">
      <alignment horizontal="right"/>
    </xf>
    <xf numFmtId="0" fontId="36" fillId="26" borderId="56" xfId="0" applyFont="1" applyFill="1" applyBorder="1" applyAlignment="1">
      <alignment horizontal="right"/>
    </xf>
    <xf numFmtId="0" fontId="36" fillId="26" borderId="55" xfId="0" applyFont="1" applyFill="1" applyBorder="1" applyAlignment="1">
      <alignment horizontal="right"/>
    </xf>
    <xf numFmtId="0" fontId="36" fillId="26" borderId="15" xfId="0" applyFont="1" applyFill="1" applyBorder="1" applyAlignment="1">
      <alignment horizontal="right"/>
    </xf>
    <xf numFmtId="0" fontId="78" fillId="3" borderId="0" xfId="0" applyFont="1" applyFill="1" applyAlignment="1">
      <alignment vertical="center"/>
    </xf>
    <xf numFmtId="0" fontId="79" fillId="3" borderId="0" xfId="0" applyFont="1" applyFill="1" applyAlignment="1">
      <alignment vertical="center"/>
    </xf>
    <xf numFmtId="0" fontId="59" fillId="3" borderId="0" xfId="0" applyFont="1" applyFill="1" applyAlignment="1">
      <alignment vertical="center"/>
    </xf>
    <xf numFmtId="0" fontId="78" fillId="61" borderId="0" xfId="0" applyFont="1" applyFill="1" applyAlignment="1">
      <alignment vertical="center"/>
    </xf>
    <xf numFmtId="0" fontId="59" fillId="61" borderId="0" xfId="0" applyFont="1" applyFill="1" applyAlignment="1">
      <alignment vertical="center"/>
    </xf>
    <xf numFmtId="0" fontId="12" fillId="61" borderId="0" xfId="0" applyFont="1" applyFill="1" applyAlignment="1">
      <alignment vertical="center"/>
    </xf>
    <xf numFmtId="0" fontId="36" fillId="26" borderId="57" xfId="0" applyFont="1" applyFill="1" applyBorder="1" applyAlignment="1">
      <alignment horizontal="right"/>
    </xf>
    <xf numFmtId="0" fontId="78" fillId="62" borderId="0" xfId="0" applyFont="1" applyFill="1" applyAlignment="1">
      <alignment vertical="center"/>
    </xf>
    <xf numFmtId="0" fontId="79" fillId="62" borderId="0" xfId="0" applyFont="1" applyFill="1" applyAlignment="1">
      <alignment vertical="center"/>
    </xf>
    <xf numFmtId="0" fontId="59" fillId="62" borderId="0" xfId="0" applyFont="1" applyFill="1" applyAlignment="1">
      <alignment vertical="center"/>
    </xf>
    <xf numFmtId="14" fontId="38" fillId="5" borderId="92" xfId="0" applyNumberFormat="1" applyFont="1" applyFill="1" applyBorder="1" applyAlignment="1" applyProtection="1">
      <alignment horizontal="left" vertical="center" indent="1"/>
      <protection locked="0" hidden="1"/>
    </xf>
    <xf numFmtId="0" fontId="0" fillId="25" borderId="0" xfId="0" applyFill="1" applyAlignment="1">
      <alignment horizontal="left" vertical="top" wrapText="1"/>
    </xf>
    <xf numFmtId="2" fontId="36" fillId="5" borderId="33" xfId="2" applyNumberFormat="1" applyFont="1" applyFill="1" applyBorder="1" applyAlignment="1">
      <alignment horizontal="right" vertical="top" indent="1"/>
    </xf>
    <xf numFmtId="0" fontId="78" fillId="4" borderId="0" xfId="0" applyFont="1" applyFill="1" applyAlignment="1">
      <alignment vertical="center"/>
    </xf>
    <xf numFmtId="0" fontId="79" fillId="4" borderId="0" xfId="0" applyFont="1" applyFill="1" applyAlignment="1">
      <alignment vertical="center"/>
    </xf>
    <xf numFmtId="0" fontId="59" fillId="4" borderId="0" xfId="0" applyFont="1" applyFill="1" applyAlignment="1">
      <alignment vertical="center"/>
    </xf>
    <xf numFmtId="0" fontId="53" fillId="13" borderId="40" xfId="0" applyFont="1" applyFill="1" applyBorder="1" applyAlignment="1">
      <alignment horizontal="left" vertical="top" wrapText="1" indent="1"/>
    </xf>
    <xf numFmtId="0" fontId="0" fillId="28" borderId="0" xfId="0" applyFill="1" applyAlignment="1">
      <alignment horizontal="left" vertical="top" wrapText="1"/>
    </xf>
    <xf numFmtId="0" fontId="0" fillId="16" borderId="0" xfId="0" applyFill="1" applyAlignment="1">
      <alignment horizontal="left" vertical="top" wrapText="1"/>
    </xf>
    <xf numFmtId="4" fontId="36" fillId="5" borderId="33" xfId="2" applyNumberFormat="1" applyFont="1" applyFill="1" applyBorder="1" applyAlignment="1">
      <alignment horizontal="right" vertical="top" indent="1"/>
    </xf>
    <xf numFmtId="3" fontId="36" fillId="5" borderId="33" xfId="2" applyNumberFormat="1" applyFont="1" applyFill="1" applyBorder="1" applyAlignment="1">
      <alignment horizontal="right" vertical="top" indent="1"/>
    </xf>
    <xf numFmtId="10" fontId="36" fillId="5" borderId="0" xfId="2" applyNumberFormat="1" applyFont="1" applyFill="1" applyBorder="1" applyAlignment="1">
      <alignment horizontal="right" vertical="top" indent="1"/>
    </xf>
    <xf numFmtId="0" fontId="36" fillId="5" borderId="0" xfId="0" applyFont="1" applyFill="1" applyAlignment="1">
      <alignment vertical="top" wrapText="1"/>
    </xf>
    <xf numFmtId="3" fontId="15" fillId="5" borderId="0" xfId="0" applyNumberFormat="1" applyFont="1" applyFill="1" applyAlignment="1">
      <alignment horizontal="right" vertical="top" indent="1"/>
    </xf>
    <xf numFmtId="0" fontId="27" fillId="25" borderId="40" xfId="0" applyFont="1" applyFill="1" applyBorder="1" applyAlignment="1">
      <alignment horizontal="left" vertical="top" wrapText="1" indent="1"/>
    </xf>
    <xf numFmtId="0" fontId="53" fillId="63" borderId="33" xfId="0" applyFont="1" applyFill="1" applyBorder="1" applyAlignment="1">
      <alignment horizontal="center" vertical="center" wrapText="1"/>
    </xf>
    <xf numFmtId="0" fontId="29" fillId="5" borderId="0" xfId="0" applyFont="1" applyFill="1" applyAlignment="1">
      <alignment horizontal="left" vertical="center"/>
    </xf>
    <xf numFmtId="0" fontId="51" fillId="5" borderId="0" xfId="5" applyFont="1" applyFill="1" applyAlignment="1">
      <alignment vertical="center" wrapText="1"/>
    </xf>
    <xf numFmtId="0" fontId="51" fillId="5" borderId="0" xfId="5" applyFont="1" applyFill="1" applyAlignment="1">
      <alignment vertical="center"/>
    </xf>
    <xf numFmtId="0" fontId="49" fillId="5" borderId="0" xfId="0" applyFont="1" applyFill="1" applyAlignment="1">
      <alignment vertical="top" wrapText="1"/>
    </xf>
    <xf numFmtId="0" fontId="49" fillId="5" borderId="0" xfId="0" applyFont="1" applyFill="1" applyAlignment="1">
      <alignment horizontal="center" vertical="top" wrapText="1"/>
    </xf>
    <xf numFmtId="0" fontId="34" fillId="5" borderId="0" xfId="0" applyFont="1" applyFill="1" applyAlignment="1">
      <alignment horizontal="right" vertical="center"/>
    </xf>
    <xf numFmtId="0" fontId="0" fillId="11" borderId="0" xfId="0" applyFill="1" applyAlignment="1">
      <alignment wrapText="1"/>
    </xf>
    <xf numFmtId="0" fontId="11" fillId="0" borderId="0" xfId="0" applyFont="1" applyAlignment="1">
      <alignment horizontal="left" vertical="top"/>
    </xf>
    <xf numFmtId="0" fontId="0" fillId="15" borderId="0" xfId="0" applyFill="1" applyAlignment="1">
      <alignment wrapText="1"/>
    </xf>
    <xf numFmtId="0" fontId="0" fillId="24" borderId="0" xfId="0" applyFill="1" applyAlignment="1">
      <alignment wrapText="1"/>
    </xf>
    <xf numFmtId="0" fontId="0" fillId="0" borderId="0" xfId="0" quotePrefix="1"/>
    <xf numFmtId="0" fontId="11" fillId="16" borderId="0" xfId="0" quotePrefix="1" applyFont="1" applyFill="1"/>
    <xf numFmtId="10" fontId="36" fillId="5" borderId="96" xfId="2" applyNumberFormat="1" applyFont="1" applyFill="1" applyBorder="1" applyAlignment="1">
      <alignment horizontal="right" vertical="top" indent="1"/>
    </xf>
    <xf numFmtId="37" fontId="36" fillId="5" borderId="33" xfId="1" applyNumberFormat="1" applyFont="1" applyFill="1" applyBorder="1" applyAlignment="1">
      <alignment horizontal="right" vertical="top" indent="1"/>
    </xf>
    <xf numFmtId="0" fontId="0" fillId="64" borderId="0" xfId="0" applyFill="1"/>
    <xf numFmtId="0" fontId="2" fillId="24" borderId="40" xfId="0" applyFont="1" applyFill="1" applyBorder="1" applyAlignment="1">
      <alignment horizontal="left" vertical="top" wrapText="1" indent="1"/>
    </xf>
    <xf numFmtId="0" fontId="2" fillId="25" borderId="40" xfId="0" applyFont="1" applyFill="1" applyBorder="1" applyAlignment="1">
      <alignment horizontal="left" vertical="top" wrapText="1" indent="1"/>
    </xf>
    <xf numFmtId="0" fontId="2" fillId="25" borderId="43" xfId="0" applyFont="1" applyFill="1" applyBorder="1" applyAlignment="1">
      <alignment horizontal="left" vertical="top" wrapText="1" indent="1"/>
    </xf>
    <xf numFmtId="0" fontId="2" fillId="25" borderId="91" xfId="0" applyFont="1" applyFill="1" applyBorder="1" applyAlignment="1">
      <alignment horizontal="left" vertical="top" wrapText="1" indent="1"/>
    </xf>
    <xf numFmtId="0" fontId="25" fillId="25" borderId="40" xfId="0" applyFont="1" applyFill="1" applyBorder="1" applyAlignment="1">
      <alignment horizontal="left" vertical="top" wrapText="1" indent="1"/>
    </xf>
    <xf numFmtId="0" fontId="47" fillId="0" borderId="0" xfId="0" applyFont="1"/>
    <xf numFmtId="0" fontId="2" fillId="10" borderId="40" xfId="0" applyFont="1" applyFill="1" applyBorder="1" applyAlignment="1">
      <alignment horizontal="left" vertical="top" wrapText="1" indent="1"/>
    </xf>
    <xf numFmtId="0" fontId="6" fillId="13" borderId="40" xfId="0" applyFont="1" applyFill="1" applyBorder="1" applyAlignment="1">
      <alignment horizontal="left" vertical="top" wrapText="1" indent="1"/>
    </xf>
    <xf numFmtId="10" fontId="27" fillId="5" borderId="33" xfId="2" applyNumberFormat="1" applyFont="1" applyFill="1" applyBorder="1" applyAlignment="1">
      <alignment horizontal="right" vertical="top" indent="1"/>
    </xf>
    <xf numFmtId="0" fontId="36" fillId="26" borderId="0" xfId="0" applyFont="1" applyFill="1" applyAlignment="1">
      <alignment horizontal="left"/>
    </xf>
    <xf numFmtId="0" fontId="15" fillId="26" borderId="0" xfId="0" applyFont="1" applyFill="1" applyAlignment="1">
      <alignment horizontal="right" indent="2"/>
    </xf>
    <xf numFmtId="0" fontId="20" fillId="26" borderId="0" xfId="0" quotePrefix="1" applyFont="1" applyFill="1" applyAlignment="1" applyProtection="1">
      <alignment horizontal="right" vertical="center" indent="2"/>
      <protection hidden="1"/>
    </xf>
    <xf numFmtId="0" fontId="15" fillId="26" borderId="0" xfId="0" quotePrefix="1" applyFont="1" applyFill="1" applyAlignment="1">
      <alignment horizontal="right" indent="2"/>
    </xf>
    <xf numFmtId="0" fontId="0" fillId="2" borderId="0" xfId="0" applyFill="1" applyAlignment="1">
      <alignment horizontal="left" vertical="top"/>
    </xf>
    <xf numFmtId="0" fontId="0" fillId="2" borderId="0" xfId="0" applyFill="1"/>
    <xf numFmtId="14" fontId="0" fillId="2" borderId="0" xfId="0" applyNumberFormat="1" applyFill="1"/>
    <xf numFmtId="10" fontId="0" fillId="2" borderId="0" xfId="2" applyNumberFormat="1" applyFont="1" applyFill="1"/>
    <xf numFmtId="0" fontId="11" fillId="2" borderId="0" xfId="0" applyFont="1" applyFill="1"/>
    <xf numFmtId="14" fontId="11" fillId="2" borderId="0" xfId="0" applyNumberFormat="1" applyFont="1" applyFill="1"/>
    <xf numFmtId="10" fontId="11" fillId="2" borderId="0" xfId="2" applyNumberFormat="1" applyFont="1" applyFill="1"/>
    <xf numFmtId="0" fontId="11" fillId="2" borderId="0" xfId="0" applyFont="1" applyFill="1" applyAlignment="1">
      <alignment horizontal="left" vertical="top"/>
    </xf>
    <xf numFmtId="0" fontId="0" fillId="18" borderId="0" xfId="0" quotePrefix="1" applyFill="1"/>
    <xf numFmtId="0" fontId="11" fillId="2" borderId="0" xfId="0" quotePrefix="1" applyFont="1" applyFill="1"/>
    <xf numFmtId="0" fontId="0" fillId="2" borderId="0" xfId="0" quotePrefix="1" applyFill="1"/>
    <xf numFmtId="0" fontId="61" fillId="5" borderId="0" xfId="0" applyFont="1" applyFill="1" applyAlignment="1">
      <alignment horizontal="left" vertical="center"/>
    </xf>
    <xf numFmtId="0" fontId="29" fillId="5" borderId="0" xfId="0" applyFont="1" applyFill="1" applyAlignment="1">
      <alignment horizontal="right" vertical="center"/>
    </xf>
    <xf numFmtId="0" fontId="13" fillId="5" borderId="0" xfId="0" applyFont="1" applyFill="1" applyAlignment="1" applyProtection="1">
      <alignment horizontal="right" vertical="center"/>
      <protection hidden="1"/>
    </xf>
    <xf numFmtId="0" fontId="13" fillId="5" borderId="0" xfId="0" applyFont="1" applyFill="1" applyProtection="1">
      <protection locked="0" hidden="1"/>
    </xf>
    <xf numFmtId="0" fontId="54" fillId="5" borderId="0" xfId="5" applyFont="1" applyFill="1" applyAlignment="1">
      <alignment horizontal="left" vertical="top"/>
    </xf>
    <xf numFmtId="0" fontId="8" fillId="5" borderId="0" xfId="0" applyFont="1" applyFill="1" applyAlignment="1">
      <alignment vertical="center" wrapText="1"/>
    </xf>
    <xf numFmtId="0" fontId="36" fillId="27" borderId="33" xfId="0" applyFont="1" applyFill="1" applyBorder="1" applyAlignment="1">
      <alignment horizontal="center" vertical="center" wrapText="1"/>
    </xf>
    <xf numFmtId="0" fontId="36" fillId="2" borderId="21" xfId="0" applyFont="1" applyFill="1" applyBorder="1" applyAlignment="1">
      <alignment horizontal="right" vertical="center" wrapText="1" indent="1"/>
    </xf>
    <xf numFmtId="0" fontId="36" fillId="29" borderId="0" xfId="0" applyFont="1" applyFill="1" applyAlignment="1">
      <alignment horizontal="center" vertical="center" wrapText="1"/>
    </xf>
    <xf numFmtId="0" fontId="36" fillId="7" borderId="33" xfId="0" applyFont="1" applyFill="1" applyBorder="1" applyAlignment="1">
      <alignment horizontal="center" vertical="center" wrapText="1"/>
    </xf>
    <xf numFmtId="14" fontId="27" fillId="11" borderId="44" xfId="0" applyNumberFormat="1" applyFont="1" applyFill="1" applyBorder="1" applyAlignment="1" applyProtection="1">
      <alignment horizontal="left" vertical="center" indent="1"/>
      <protection locked="0" hidden="1"/>
    </xf>
    <xf numFmtId="0" fontId="27" fillId="0" borderId="0" xfId="0" applyFont="1" applyProtection="1">
      <protection locked="0" hidden="1"/>
    </xf>
    <xf numFmtId="14" fontId="27" fillId="0" borderId="0" xfId="0" applyNumberFormat="1" applyFont="1" applyAlignment="1" applyProtection="1">
      <alignment horizontal="left" vertical="center" indent="1"/>
      <protection locked="0" hidden="1"/>
    </xf>
    <xf numFmtId="0" fontId="13" fillId="5" borderId="0" xfId="0" applyFont="1" applyFill="1" applyAlignment="1">
      <alignment horizontal="justify" vertical="top" wrapText="1"/>
    </xf>
    <xf numFmtId="0" fontId="51" fillId="5" borderId="0" xfId="5" applyFont="1" applyFill="1" applyAlignment="1">
      <alignment horizontal="left" vertical="center" wrapText="1"/>
    </xf>
    <xf numFmtId="0" fontId="51" fillId="5" borderId="0" xfId="5" applyFont="1" applyFill="1" applyAlignment="1">
      <alignment horizontal="left" vertical="center"/>
    </xf>
    <xf numFmtId="0" fontId="49" fillId="5" borderId="0" xfId="0" applyFont="1" applyFill="1" applyAlignment="1">
      <alignment horizontal="left" vertical="top" wrapText="1"/>
    </xf>
    <xf numFmtId="0" fontId="13" fillId="5" borderId="0" xfId="0" applyFont="1" applyFill="1" applyAlignment="1">
      <alignment horizontal="left" vertical="top" wrapText="1"/>
    </xf>
    <xf numFmtId="0" fontId="13" fillId="26" borderId="41" xfId="0" applyFont="1" applyFill="1" applyBorder="1" applyAlignment="1">
      <alignment horizontal="left" vertical="top" wrapText="1" indent="1"/>
    </xf>
    <xf numFmtId="0" fontId="13" fillId="26" borderId="36" xfId="0" applyFont="1" applyFill="1" applyBorder="1" applyAlignment="1">
      <alignment horizontal="left" vertical="top" wrapText="1" indent="1"/>
    </xf>
    <xf numFmtId="0" fontId="13" fillId="26" borderId="38" xfId="0" applyFont="1" applyFill="1" applyBorder="1" applyAlignment="1">
      <alignment horizontal="left" vertical="top" wrapText="1" indent="1"/>
    </xf>
    <xf numFmtId="0" fontId="13" fillId="26" borderId="72" xfId="0" applyFont="1" applyFill="1" applyBorder="1" applyAlignment="1">
      <alignment horizontal="left" vertical="top" wrapText="1" indent="1"/>
    </xf>
    <xf numFmtId="0" fontId="13" fillId="26" borderId="0" xfId="0" applyFont="1" applyFill="1" applyAlignment="1">
      <alignment horizontal="left" vertical="top" wrapText="1" indent="1"/>
    </xf>
    <xf numFmtId="0" fontId="13" fillId="26" borderId="73" xfId="0" applyFont="1" applyFill="1" applyBorder="1" applyAlignment="1">
      <alignment horizontal="left" vertical="top" wrapText="1" indent="1"/>
    </xf>
    <xf numFmtId="0" fontId="8" fillId="26" borderId="42" xfId="0" applyFont="1" applyFill="1" applyBorder="1" applyAlignment="1">
      <alignment horizontal="left" vertical="top" wrapText="1" indent="1"/>
    </xf>
    <xf numFmtId="0" fontId="8" fillId="26" borderId="37" xfId="0" applyFont="1" applyFill="1" applyBorder="1" applyAlignment="1">
      <alignment horizontal="left" vertical="top" wrapText="1" indent="1"/>
    </xf>
    <xf numFmtId="0" fontId="8" fillId="26" borderId="39" xfId="0" applyFont="1" applyFill="1" applyBorder="1" applyAlignment="1">
      <alignment horizontal="left" vertical="top" wrapText="1" indent="1"/>
    </xf>
    <xf numFmtId="0" fontId="39" fillId="5" borderId="0" xfId="0" applyFont="1" applyFill="1" applyAlignment="1">
      <alignment horizontal="right" indent="1"/>
    </xf>
    <xf numFmtId="0" fontId="28" fillId="5" borderId="0" xfId="0" applyFont="1" applyFill="1" applyAlignment="1">
      <alignment horizontal="center" vertical="center" wrapText="1"/>
    </xf>
    <xf numFmtId="0" fontId="4" fillId="5" borderId="0" xfId="0" applyFont="1" applyFill="1" applyAlignment="1">
      <alignment horizontal="left" vertical="top" wrapText="1"/>
    </xf>
    <xf numFmtId="4" fontId="15" fillId="2" borderId="21" xfId="0" applyNumberFormat="1" applyFont="1" applyFill="1" applyBorder="1" applyAlignment="1">
      <alignment horizontal="center" vertical="top" wrapText="1"/>
    </xf>
    <xf numFmtId="0" fontId="36" fillId="21" borderId="20" xfId="0" applyFont="1" applyFill="1" applyBorder="1" applyAlignment="1">
      <alignment horizontal="right" vertical="top" wrapText="1" indent="1"/>
    </xf>
    <xf numFmtId="0" fontId="36" fillId="21" borderId="21" xfId="0" applyFont="1" applyFill="1" applyBorder="1" applyAlignment="1">
      <alignment horizontal="right" vertical="top" wrapText="1" indent="1"/>
    </xf>
    <xf numFmtId="0" fontId="36" fillId="21" borderId="22" xfId="0" applyFont="1" applyFill="1" applyBorder="1" applyAlignment="1">
      <alignment horizontal="right" vertical="top" wrapText="1" indent="1"/>
    </xf>
    <xf numFmtId="0" fontId="20" fillId="5" borderId="20" xfId="0" applyFont="1" applyFill="1" applyBorder="1" applyAlignment="1">
      <alignment horizontal="left" vertical="top" wrapText="1" indent="1"/>
    </xf>
    <xf numFmtId="0" fontId="20" fillId="5" borderId="21" xfId="0" applyFont="1" applyFill="1" applyBorder="1" applyAlignment="1">
      <alignment horizontal="left" vertical="top" wrapText="1" indent="1"/>
    </xf>
    <xf numFmtId="0" fontId="20" fillId="5" borderId="22" xfId="0" applyFont="1" applyFill="1" applyBorder="1" applyAlignment="1">
      <alignment horizontal="left" vertical="top" wrapText="1" indent="1"/>
    </xf>
    <xf numFmtId="0" fontId="36" fillId="21" borderId="93" xfId="0" applyFont="1" applyFill="1" applyBorder="1" applyAlignment="1">
      <alignment horizontal="right" vertical="top" wrapText="1" indent="1"/>
    </xf>
    <xf numFmtId="0" fontId="36" fillId="21" borderId="94" xfId="0" applyFont="1" applyFill="1" applyBorder="1" applyAlignment="1">
      <alignment horizontal="right" vertical="top" wrapText="1" indent="1"/>
    </xf>
    <xf numFmtId="0" fontId="36" fillId="21" borderId="95" xfId="0" applyFont="1" applyFill="1" applyBorder="1" applyAlignment="1">
      <alignment horizontal="right" vertical="top" wrapText="1" indent="1"/>
    </xf>
    <xf numFmtId="4" fontId="15" fillId="2" borderId="94" xfId="0" applyNumberFormat="1" applyFont="1" applyFill="1" applyBorder="1" applyAlignment="1">
      <alignment horizontal="center" vertical="top" wrapText="1"/>
    </xf>
    <xf numFmtId="0" fontId="36" fillId="21" borderId="55" xfId="0" applyFont="1" applyFill="1" applyBorder="1" applyAlignment="1">
      <alignment horizontal="right" vertical="top" wrapText="1" indent="1"/>
    </xf>
    <xf numFmtId="0" fontId="36" fillId="21" borderId="15" xfId="0" applyFont="1" applyFill="1" applyBorder="1" applyAlignment="1">
      <alignment horizontal="right" vertical="top" wrapText="1" indent="1"/>
    </xf>
    <xf numFmtId="0" fontId="36" fillId="21" borderId="17" xfId="0" applyFont="1" applyFill="1" applyBorder="1" applyAlignment="1">
      <alignment horizontal="right" vertical="top" wrapText="1" indent="1"/>
    </xf>
    <xf numFmtId="0" fontId="36" fillId="21" borderId="56" xfId="0" applyFont="1" applyFill="1" applyBorder="1" applyAlignment="1">
      <alignment horizontal="right" vertical="top" wrapText="1" indent="1"/>
    </xf>
    <xf numFmtId="0" fontId="36" fillId="21" borderId="0" xfId="0" applyFont="1" applyFill="1" applyAlignment="1">
      <alignment horizontal="right" vertical="top" wrapText="1" indent="1"/>
    </xf>
    <xf numFmtId="0" fontId="36" fillId="21" borderId="16" xfId="0" applyFont="1" applyFill="1" applyBorder="1" applyAlignment="1">
      <alignment horizontal="right" vertical="top" wrapText="1" indent="1"/>
    </xf>
    <xf numFmtId="0" fontId="36" fillId="21" borderId="57" xfId="0" applyFont="1" applyFill="1" applyBorder="1" applyAlignment="1">
      <alignment horizontal="right" vertical="top" wrapText="1" indent="1"/>
    </xf>
    <xf numFmtId="0" fontId="36" fillId="21" borderId="54" xfId="0" applyFont="1" applyFill="1" applyBorder="1" applyAlignment="1">
      <alignment horizontal="right" vertical="top" wrapText="1" indent="1"/>
    </xf>
    <xf numFmtId="0" fontId="36" fillId="21" borderId="90" xfId="0" applyFont="1" applyFill="1" applyBorder="1" applyAlignment="1">
      <alignment horizontal="right" vertical="top" wrapText="1" indent="1"/>
    </xf>
    <xf numFmtId="0" fontId="27" fillId="8" borderId="34" xfId="0" applyFont="1" applyFill="1" applyBorder="1" applyAlignment="1" applyProtection="1">
      <alignment horizontal="right" vertical="center" indent="1"/>
      <protection hidden="1"/>
    </xf>
    <xf numFmtId="0" fontId="27" fillId="8" borderId="33" xfId="0" applyFont="1" applyFill="1" applyBorder="1" applyAlignment="1" applyProtection="1">
      <alignment horizontal="right" vertical="center" indent="1"/>
      <protection hidden="1"/>
    </xf>
    <xf numFmtId="0" fontId="27" fillId="8" borderId="35" xfId="0" applyFont="1" applyFill="1" applyBorder="1" applyAlignment="1" applyProtection="1">
      <alignment horizontal="right" vertical="center" indent="1"/>
      <protection hidden="1"/>
    </xf>
    <xf numFmtId="0" fontId="36" fillId="2" borderId="21" xfId="0" applyFont="1" applyFill="1" applyBorder="1" applyAlignment="1">
      <alignment horizontal="center" vertical="center" wrapText="1"/>
    </xf>
    <xf numFmtId="0" fontId="36" fillId="23" borderId="20" xfId="0" applyFont="1" applyFill="1" applyBorder="1" applyAlignment="1">
      <alignment horizontal="right" vertical="top" wrapText="1" indent="1"/>
    </xf>
    <xf numFmtId="0" fontId="36" fillId="23" borderId="21" xfId="0" applyFont="1" applyFill="1" applyBorder="1" applyAlignment="1">
      <alignment horizontal="right" vertical="top" wrapText="1" indent="1"/>
    </xf>
    <xf numFmtId="0" fontId="36" fillId="23" borderId="22" xfId="0" applyFont="1" applyFill="1" applyBorder="1" applyAlignment="1">
      <alignment horizontal="right" vertical="top" wrapText="1" indent="1"/>
    </xf>
    <xf numFmtId="0" fontId="36" fillId="12" borderId="20" xfId="0" applyFont="1" applyFill="1" applyBorder="1" applyAlignment="1">
      <alignment horizontal="right" vertical="top" wrapText="1" indent="1"/>
    </xf>
    <xf numFmtId="0" fontId="36" fillId="12" borderId="21" xfId="0" applyFont="1" applyFill="1" applyBorder="1" applyAlignment="1">
      <alignment horizontal="right" vertical="top" wrapText="1" indent="1"/>
    </xf>
    <xf numFmtId="0" fontId="36" fillId="12" borderId="22" xfId="0" applyFont="1" applyFill="1" applyBorder="1" applyAlignment="1">
      <alignment horizontal="right" vertical="top" wrapText="1" indent="1"/>
    </xf>
    <xf numFmtId="4" fontId="15" fillId="5" borderId="21" xfId="0" applyNumberFormat="1" applyFont="1" applyFill="1" applyBorder="1" applyAlignment="1">
      <alignment horizontal="center" vertical="top" wrapText="1"/>
    </xf>
    <xf numFmtId="0" fontId="80" fillId="2" borderId="92" xfId="0" applyFont="1" applyFill="1" applyBorder="1" applyAlignment="1" applyProtection="1">
      <alignment horizontal="right" vertical="top" wrapText="1"/>
      <protection hidden="1"/>
    </xf>
    <xf numFmtId="4" fontId="15" fillId="5" borderId="51" xfId="0" applyNumberFormat="1" applyFont="1" applyFill="1" applyBorder="1" applyAlignment="1">
      <alignment horizontal="center" vertical="top" wrapText="1"/>
    </xf>
    <xf numFmtId="4" fontId="15" fillId="5" borderId="0" xfId="0" applyNumberFormat="1" applyFont="1" applyFill="1" applyAlignment="1">
      <alignment horizontal="center" vertical="top" wrapText="1"/>
    </xf>
    <xf numFmtId="4" fontId="15" fillId="5" borderId="54" xfId="0" applyNumberFormat="1" applyFont="1" applyFill="1" applyBorder="1" applyAlignment="1">
      <alignment horizontal="center" vertical="top" wrapText="1"/>
    </xf>
    <xf numFmtId="0" fontId="15" fillId="5" borderId="0" xfId="0" applyFont="1" applyFill="1" applyAlignment="1">
      <alignment horizontal="justify" vertical="top" wrapText="1"/>
    </xf>
    <xf numFmtId="0" fontId="36" fillId="22" borderId="20" xfId="0" applyFont="1" applyFill="1" applyBorder="1" applyAlignment="1">
      <alignment horizontal="right" vertical="top" wrapText="1" indent="1"/>
    </xf>
    <xf numFmtId="0" fontId="36" fillId="22" borderId="21" xfId="0" applyFont="1" applyFill="1" applyBorder="1" applyAlignment="1">
      <alignment horizontal="right" vertical="top" wrapText="1" indent="1"/>
    </xf>
    <xf numFmtId="0" fontId="36" fillId="22" borderId="22" xfId="0" applyFont="1" applyFill="1" applyBorder="1" applyAlignment="1">
      <alignment horizontal="right" vertical="top" wrapText="1" indent="1"/>
    </xf>
    <xf numFmtId="0" fontId="36" fillId="8" borderId="6" xfId="0" applyFont="1" applyFill="1" applyBorder="1" applyAlignment="1" applyProtection="1">
      <alignment horizontal="right" vertical="center" indent="1"/>
      <protection hidden="1"/>
    </xf>
    <xf numFmtId="0" fontId="36" fillId="8" borderId="7" xfId="0" applyFont="1" applyFill="1" applyBorder="1" applyAlignment="1" applyProtection="1">
      <alignment horizontal="right" vertical="center" indent="1"/>
      <protection hidden="1"/>
    </xf>
    <xf numFmtId="0" fontId="32" fillId="8" borderId="6" xfId="0" applyFont="1" applyFill="1" applyBorder="1" applyAlignment="1" applyProtection="1">
      <alignment horizontal="right" vertical="center" indent="1"/>
      <protection hidden="1"/>
    </xf>
    <xf numFmtId="0" fontId="32" fillId="8" borderId="12" xfId="0" applyFont="1" applyFill="1" applyBorder="1" applyAlignment="1" applyProtection="1">
      <alignment horizontal="right" vertical="center" indent="1"/>
      <protection hidden="1"/>
    </xf>
    <xf numFmtId="0" fontId="32" fillId="8" borderId="7" xfId="0" applyFont="1" applyFill="1" applyBorder="1" applyAlignment="1" applyProtection="1">
      <alignment horizontal="right" vertical="center" indent="1"/>
      <protection hidden="1"/>
    </xf>
    <xf numFmtId="0" fontId="27" fillId="8" borderId="6" xfId="0" applyFont="1" applyFill="1" applyBorder="1" applyAlignment="1" applyProtection="1">
      <alignment horizontal="right" vertical="center" indent="1"/>
      <protection hidden="1"/>
    </xf>
    <xf numFmtId="0" fontId="27" fillId="8" borderId="12" xfId="0" applyFont="1" applyFill="1" applyBorder="1" applyAlignment="1" applyProtection="1">
      <alignment horizontal="right" vertical="center" indent="1"/>
      <protection hidden="1"/>
    </xf>
    <xf numFmtId="0" fontId="27" fillId="8" borderId="7" xfId="0" applyFont="1" applyFill="1" applyBorder="1" applyAlignment="1" applyProtection="1">
      <alignment horizontal="right" vertical="center" indent="1"/>
      <protection hidden="1"/>
    </xf>
    <xf numFmtId="0" fontId="37" fillId="5" borderId="20" xfId="0" applyFont="1" applyFill="1" applyBorder="1" applyAlignment="1" applyProtection="1">
      <alignment horizontal="left" vertical="center" indent="1"/>
      <protection hidden="1"/>
    </xf>
    <xf numFmtId="0" fontId="37" fillId="5" borderId="21" xfId="0" applyFont="1" applyFill="1" applyBorder="1" applyAlignment="1" applyProtection="1">
      <alignment horizontal="left" vertical="center" indent="1"/>
      <protection hidden="1"/>
    </xf>
    <xf numFmtId="0" fontId="37" fillId="5" borderId="22" xfId="0" applyFont="1" applyFill="1" applyBorder="1" applyAlignment="1" applyProtection="1">
      <alignment horizontal="left" vertical="center" indent="1"/>
      <protection hidden="1"/>
    </xf>
    <xf numFmtId="0" fontId="36" fillId="27" borderId="33" xfId="0" applyFont="1" applyFill="1" applyBorder="1" applyAlignment="1">
      <alignment horizontal="center" vertical="center" wrapText="1"/>
    </xf>
    <xf numFmtId="0" fontId="32" fillId="5" borderId="20" xfId="0" applyFont="1" applyFill="1" applyBorder="1" applyAlignment="1" applyProtection="1">
      <alignment horizontal="center" vertical="center"/>
      <protection hidden="1"/>
    </xf>
    <xf numFmtId="0" fontId="32" fillId="5" borderId="21" xfId="0" applyFont="1" applyFill="1" applyBorder="1" applyAlignment="1" applyProtection="1">
      <alignment horizontal="center" vertical="center"/>
      <protection hidden="1"/>
    </xf>
    <xf numFmtId="0" fontId="32" fillId="5" borderId="22" xfId="0" applyFont="1" applyFill="1" applyBorder="1" applyAlignment="1" applyProtection="1">
      <alignment horizontal="center" vertical="center"/>
      <protection hidden="1"/>
    </xf>
    <xf numFmtId="0" fontId="27" fillId="11" borderId="45" xfId="0" applyFont="1" applyFill="1" applyBorder="1" applyAlignment="1" applyProtection="1">
      <alignment horizontal="left" vertical="center" indent="1"/>
      <protection locked="0" hidden="1"/>
    </xf>
    <xf numFmtId="0" fontId="27" fillId="11" borderId="46" xfId="0" applyFont="1" applyFill="1" applyBorder="1" applyAlignment="1" applyProtection="1">
      <alignment horizontal="left" vertical="center" indent="1"/>
      <protection locked="0" hidden="1"/>
    </xf>
    <xf numFmtId="0" fontId="27" fillId="11" borderId="47" xfId="0" applyFont="1" applyFill="1" applyBorder="1" applyAlignment="1" applyProtection="1">
      <alignment horizontal="left" vertical="center" indent="1"/>
      <protection locked="0" hidden="1"/>
    </xf>
    <xf numFmtId="0" fontId="80" fillId="2" borderId="92" xfId="0" applyFont="1" applyFill="1" applyBorder="1" applyAlignment="1" applyProtection="1">
      <alignment horizontal="right" vertical="center" wrapText="1"/>
      <protection hidden="1"/>
    </xf>
    <xf numFmtId="0" fontId="15" fillId="5" borderId="20" xfId="0" applyFont="1" applyFill="1" applyBorder="1" applyAlignment="1" applyProtection="1">
      <alignment horizontal="center" vertical="center"/>
      <protection hidden="1"/>
    </xf>
    <xf numFmtId="0" fontId="15" fillId="5" borderId="21" xfId="0" applyFont="1" applyFill="1" applyBorder="1" applyAlignment="1" applyProtection="1">
      <alignment horizontal="center" vertical="center"/>
      <protection hidden="1"/>
    </xf>
    <xf numFmtId="0" fontId="15" fillId="5" borderId="22" xfId="0" applyFont="1" applyFill="1" applyBorder="1" applyAlignment="1" applyProtection="1">
      <alignment horizontal="center" vertical="center"/>
      <protection hidden="1"/>
    </xf>
    <xf numFmtId="0" fontId="36" fillId="29" borderId="0" xfId="0" applyFont="1" applyFill="1" applyAlignment="1">
      <alignment horizontal="center" vertical="center" wrapText="1"/>
    </xf>
    <xf numFmtId="0" fontId="36" fillId="23" borderId="51" xfId="0" applyFont="1" applyFill="1" applyBorder="1" applyAlignment="1">
      <alignment horizontal="right" vertical="top" wrapText="1" indent="1"/>
    </xf>
    <xf numFmtId="0" fontId="36" fillId="23" borderId="97" xfId="0" applyFont="1" applyFill="1" applyBorder="1" applyAlignment="1">
      <alignment horizontal="right" vertical="top" wrapText="1" indent="1"/>
    </xf>
    <xf numFmtId="0" fontId="36" fillId="23" borderId="54" xfId="0" applyFont="1" applyFill="1" applyBorder="1" applyAlignment="1">
      <alignment horizontal="right" vertical="top" wrapText="1" indent="1"/>
    </xf>
    <xf numFmtId="0" fontId="36" fillId="23" borderId="90" xfId="0" applyFont="1" applyFill="1" applyBorder="1" applyAlignment="1">
      <alignment horizontal="right" vertical="top" wrapText="1" indent="1"/>
    </xf>
    <xf numFmtId="0" fontId="36" fillId="7" borderId="33" xfId="0" applyFont="1" applyFill="1" applyBorder="1" applyAlignment="1">
      <alignment horizontal="center" vertical="center" wrapText="1"/>
    </xf>
    <xf numFmtId="0" fontId="36" fillId="23" borderId="50" xfId="0" applyFont="1" applyFill="1" applyBorder="1" applyAlignment="1">
      <alignment horizontal="right" vertical="top" wrapText="1" indent="1"/>
    </xf>
    <xf numFmtId="0" fontId="36" fillId="23" borderId="52" xfId="0" applyFont="1" applyFill="1" applyBorder="1" applyAlignment="1">
      <alignment horizontal="right" vertical="top" wrapText="1" indent="1"/>
    </xf>
    <xf numFmtId="0" fontId="36" fillId="23" borderId="48" xfId="0" applyFont="1" applyFill="1" applyBorder="1" applyAlignment="1">
      <alignment horizontal="right" vertical="top" wrapText="1" indent="1"/>
    </xf>
    <xf numFmtId="0" fontId="36" fillId="23" borderId="49" xfId="0" applyFont="1" applyFill="1" applyBorder="1" applyAlignment="1">
      <alignment horizontal="right" vertical="top" wrapText="1" indent="1"/>
    </xf>
    <xf numFmtId="0" fontId="36" fillId="23" borderId="53" xfId="0" applyFont="1" applyFill="1" applyBorder="1" applyAlignment="1">
      <alignment horizontal="right" vertical="top" wrapText="1" indent="1"/>
    </xf>
    <xf numFmtId="0" fontId="77" fillId="2" borderId="92" xfId="0" applyFont="1" applyFill="1" applyBorder="1" applyAlignment="1" applyProtection="1">
      <alignment horizontal="center" vertical="center" wrapText="1"/>
      <protection hidden="1"/>
    </xf>
    <xf numFmtId="0" fontId="77" fillId="2" borderId="92" xfId="0" applyFont="1" applyFill="1" applyBorder="1" applyAlignment="1" applyProtection="1">
      <alignment horizontal="right" vertical="top" wrapText="1"/>
      <protection hidden="1"/>
    </xf>
    <xf numFmtId="0" fontId="53" fillId="63" borderId="33"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36" fillId="23" borderId="55" xfId="0" applyFont="1" applyFill="1" applyBorder="1" applyAlignment="1">
      <alignment horizontal="right" vertical="top" wrapText="1" indent="1"/>
    </xf>
    <xf numFmtId="0" fontId="36" fillId="23" borderId="15" xfId="0" applyFont="1" applyFill="1" applyBorder="1" applyAlignment="1">
      <alignment horizontal="right" vertical="top" wrapText="1" indent="1"/>
    </xf>
    <xf numFmtId="0" fontId="36" fillId="23" borderId="17" xfId="0" applyFont="1" applyFill="1" applyBorder="1" applyAlignment="1">
      <alignment horizontal="right" vertical="top" wrapText="1" indent="1"/>
    </xf>
    <xf numFmtId="0" fontId="36" fillId="23" borderId="57" xfId="0" applyFont="1" applyFill="1" applyBorder="1" applyAlignment="1">
      <alignment horizontal="right" vertical="top" wrapText="1" indent="1"/>
    </xf>
    <xf numFmtId="4" fontId="15" fillId="2" borderId="51" xfId="0" applyNumberFormat="1" applyFont="1" applyFill="1" applyBorder="1" applyAlignment="1">
      <alignment horizontal="center" vertical="top" wrapText="1"/>
    </xf>
    <xf numFmtId="4" fontId="15" fillId="2" borderId="0" xfId="0" applyNumberFormat="1" applyFont="1" applyFill="1" applyAlignment="1">
      <alignment horizontal="center" vertical="top" wrapText="1"/>
    </xf>
    <xf numFmtId="0" fontId="37" fillId="26" borderId="76" xfId="0" applyFont="1" applyFill="1" applyBorder="1" applyAlignment="1" applyProtection="1">
      <alignment horizontal="left" vertical="center" indent="1"/>
      <protection hidden="1"/>
    </xf>
    <xf numFmtId="0" fontId="37" fillId="26" borderId="71" xfId="0" applyFont="1" applyFill="1" applyBorder="1" applyAlignment="1" applyProtection="1">
      <alignment horizontal="left" vertical="center" indent="1"/>
      <protection hidden="1"/>
    </xf>
    <xf numFmtId="0" fontId="37" fillId="26" borderId="77" xfId="0" applyFont="1" applyFill="1" applyBorder="1" applyAlignment="1" applyProtection="1">
      <alignment horizontal="left" vertical="center" indent="1"/>
      <protection hidden="1"/>
    </xf>
    <xf numFmtId="0" fontId="27" fillId="5" borderId="78" xfId="0" applyFont="1" applyFill="1" applyBorder="1" applyAlignment="1" applyProtection="1">
      <alignment horizontal="left" vertical="center" indent="1"/>
      <protection locked="0" hidden="1"/>
    </xf>
    <xf numFmtId="0" fontId="27" fillId="5" borderId="79" xfId="0" applyFont="1" applyFill="1" applyBorder="1" applyAlignment="1" applyProtection="1">
      <alignment horizontal="left" vertical="center" indent="1"/>
      <protection locked="0" hidden="1"/>
    </xf>
    <xf numFmtId="0" fontId="27" fillId="5" borderId="80" xfId="0" applyFont="1" applyFill="1" applyBorder="1" applyAlignment="1" applyProtection="1">
      <alignment horizontal="left" vertical="center" indent="1"/>
      <protection locked="0" hidden="1"/>
    </xf>
    <xf numFmtId="0" fontId="27" fillId="14" borderId="58" xfId="0" applyFont="1" applyFill="1" applyBorder="1" applyAlignment="1">
      <alignment horizontal="right" vertical="center" wrapText="1" indent="1"/>
    </xf>
    <xf numFmtId="0" fontId="27" fillId="14" borderId="13" xfId="0" applyFont="1" applyFill="1" applyBorder="1" applyAlignment="1">
      <alignment horizontal="right" vertical="center" wrapText="1" indent="1"/>
    </xf>
    <xf numFmtId="0" fontId="27" fillId="14" borderId="63" xfId="0" applyFont="1" applyFill="1" applyBorder="1" applyAlignment="1">
      <alignment horizontal="right" vertical="center" wrapText="1" indent="1"/>
    </xf>
    <xf numFmtId="0" fontId="32" fillId="14" borderId="58" xfId="0" applyFont="1" applyFill="1" applyBorder="1" applyAlignment="1">
      <alignment horizontal="right" vertical="center" wrapText="1" indent="1"/>
    </xf>
    <xf numFmtId="0" fontId="32" fillId="14" borderId="13" xfId="0" applyFont="1" applyFill="1" applyBorder="1" applyAlignment="1">
      <alignment horizontal="right" vertical="center" wrapText="1" indent="1"/>
    </xf>
    <xf numFmtId="0" fontId="32" fillId="14" borderId="63" xfId="0" applyFont="1" applyFill="1" applyBorder="1" applyAlignment="1">
      <alignment horizontal="right" vertical="center" wrapText="1" indent="1"/>
    </xf>
    <xf numFmtId="0" fontId="27" fillId="5" borderId="64" xfId="0" applyFont="1" applyFill="1" applyBorder="1" applyAlignment="1">
      <alignment horizontal="right" vertical="center" wrapText="1" indent="1"/>
    </xf>
    <xf numFmtId="0" fontId="27" fillId="5" borderId="67" xfId="0" applyFont="1" applyFill="1" applyBorder="1" applyAlignment="1">
      <alignment horizontal="right" vertical="center" wrapText="1" indent="1"/>
    </xf>
    <xf numFmtId="0" fontId="27" fillId="5" borderId="65" xfId="0" applyFont="1" applyFill="1" applyBorder="1" applyAlignment="1">
      <alignment horizontal="right" vertical="center" wrapText="1" indent="1"/>
    </xf>
    <xf numFmtId="0" fontId="27" fillId="5" borderId="23" xfId="0" applyFont="1" applyFill="1" applyBorder="1" applyAlignment="1">
      <alignment horizontal="right" vertical="center" wrapText="1" indent="1"/>
    </xf>
    <xf numFmtId="0" fontId="27" fillId="5" borderId="66" xfId="0" applyFont="1" applyFill="1" applyBorder="1" applyAlignment="1">
      <alignment horizontal="right" vertical="center" wrapText="1" indent="1"/>
    </xf>
    <xf numFmtId="0" fontId="27" fillId="5" borderId="68" xfId="0" applyFont="1" applyFill="1" applyBorder="1" applyAlignment="1">
      <alignment horizontal="right" vertical="center" wrapText="1" indent="1"/>
    </xf>
    <xf numFmtId="0" fontId="32" fillId="14" borderId="14" xfId="0" applyFont="1" applyFill="1" applyBorder="1" applyAlignment="1">
      <alignment horizontal="right" vertical="center" wrapText="1" indent="1"/>
    </xf>
    <xf numFmtId="0" fontId="32" fillId="14" borderId="13" xfId="0" quotePrefix="1" applyFont="1" applyFill="1" applyBorder="1" applyAlignment="1">
      <alignment horizontal="right" vertical="center" wrapText="1" indent="1"/>
    </xf>
    <xf numFmtId="0" fontId="15" fillId="5" borderId="0" xfId="0" applyFont="1" applyFill="1" applyAlignment="1">
      <alignment horizontal="left" vertical="top" wrapText="1"/>
    </xf>
    <xf numFmtId="0" fontId="27" fillId="5" borderId="70" xfId="0" applyFont="1" applyFill="1" applyBorder="1" applyAlignment="1">
      <alignment horizontal="right" vertical="center" wrapText="1" indent="1"/>
    </xf>
    <xf numFmtId="0" fontId="27" fillId="5" borderId="59" xfId="0" applyFont="1" applyFill="1" applyBorder="1" applyAlignment="1">
      <alignment horizontal="right" vertical="center" wrapText="1" indent="1"/>
    </xf>
    <xf numFmtId="0" fontId="27" fillId="5" borderId="61" xfId="0" applyFont="1" applyFill="1" applyBorder="1" applyAlignment="1">
      <alignment horizontal="right" vertical="center" wrapText="1" indent="1"/>
    </xf>
    <xf numFmtId="0" fontId="27" fillId="5" borderId="62" xfId="0" applyFont="1" applyFill="1" applyBorder="1" applyAlignment="1">
      <alignment horizontal="right" vertical="center" wrapText="1" indent="1"/>
    </xf>
    <xf numFmtId="3" fontId="36" fillId="14" borderId="3" xfId="1" applyNumberFormat="1" applyFont="1" applyFill="1" applyBorder="1" applyAlignment="1">
      <alignment horizontal="right" vertical="center" indent="1"/>
    </xf>
    <xf numFmtId="3" fontId="36" fillId="14" borderId="11" xfId="1" applyNumberFormat="1" applyFont="1" applyFill="1" applyBorder="1" applyAlignment="1">
      <alignment horizontal="right" vertical="center" indent="1"/>
    </xf>
    <xf numFmtId="3" fontId="36" fillId="5" borderId="24" xfId="1" applyNumberFormat="1" applyFont="1" applyFill="1" applyBorder="1" applyAlignment="1">
      <alignment horizontal="right" vertical="center" indent="1"/>
    </xf>
    <xf numFmtId="3" fontId="36" fillId="5" borderId="18" xfId="1" applyNumberFormat="1" applyFont="1" applyFill="1" applyBorder="1" applyAlignment="1">
      <alignment horizontal="right" vertical="center" indent="1"/>
    </xf>
    <xf numFmtId="3" fontId="36" fillId="5" borderId="26" xfId="1" applyNumberFormat="1" applyFont="1" applyFill="1" applyBorder="1" applyAlignment="1">
      <alignment horizontal="right" vertical="center" indent="1"/>
    </xf>
    <xf numFmtId="3" fontId="36" fillId="5" borderId="19" xfId="1" applyNumberFormat="1" applyFont="1" applyFill="1" applyBorder="1" applyAlignment="1">
      <alignment horizontal="right" vertical="center" indent="1"/>
    </xf>
    <xf numFmtId="3" fontId="36" fillId="5" borderId="19" xfId="1" quotePrefix="1" applyNumberFormat="1" applyFont="1" applyFill="1" applyBorder="1" applyAlignment="1">
      <alignment horizontal="right" vertical="center" indent="1"/>
    </xf>
    <xf numFmtId="0" fontId="5" fillId="5" borderId="0" xfId="0" applyFont="1" applyFill="1" applyAlignment="1">
      <alignment horizontal="left" vertical="top" wrapText="1"/>
    </xf>
    <xf numFmtId="3" fontId="36" fillId="5" borderId="28" xfId="1" applyNumberFormat="1" applyFont="1" applyFill="1" applyBorder="1" applyAlignment="1">
      <alignment horizontal="right" vertical="center" indent="1"/>
    </xf>
    <xf numFmtId="3" fontId="36" fillId="5" borderId="29" xfId="1" applyNumberFormat="1" applyFont="1" applyFill="1" applyBorder="1" applyAlignment="1">
      <alignment horizontal="right" vertical="center" indent="1"/>
    </xf>
    <xf numFmtId="0" fontId="8" fillId="5" borderId="0" xfId="0" applyFont="1" applyFill="1" applyAlignment="1">
      <alignment horizontal="left" vertical="top" wrapText="1"/>
    </xf>
    <xf numFmtId="0" fontId="83" fillId="5" borderId="0" xfId="0" applyFont="1" applyFill="1" applyAlignment="1">
      <alignment horizontal="left" vertical="top" wrapText="1"/>
    </xf>
    <xf numFmtId="0" fontId="18" fillId="5" borderId="0" xfId="0" applyFont="1" applyFill="1" applyAlignment="1">
      <alignment horizontal="justify" vertical="top" wrapText="1"/>
    </xf>
    <xf numFmtId="0" fontId="18" fillId="5" borderId="0" xfId="0" applyFont="1" applyFill="1" applyAlignment="1">
      <alignment horizontal="left" vertical="top" wrapText="1"/>
    </xf>
    <xf numFmtId="0" fontId="18" fillId="5" borderId="0" xfId="0" applyFont="1" applyFill="1" applyAlignment="1">
      <alignment horizontal="left" vertical="top"/>
    </xf>
    <xf numFmtId="0" fontId="15" fillId="5" borderId="37" xfId="0" applyFont="1" applyFill="1" applyBorder="1" applyAlignment="1">
      <alignment horizontal="left" indent="1"/>
    </xf>
    <xf numFmtId="0" fontId="36" fillId="5" borderId="33" xfId="0" applyFont="1" applyFill="1" applyBorder="1" applyAlignment="1">
      <alignment horizontal="left" indent="1"/>
    </xf>
    <xf numFmtId="0" fontId="15" fillId="5" borderId="33" xfId="0" applyFont="1" applyFill="1" applyBorder="1" applyAlignment="1">
      <alignment horizontal="left" indent="1"/>
    </xf>
    <xf numFmtId="0" fontId="36" fillId="5" borderId="0" xfId="0" applyFont="1" applyFill="1" applyAlignment="1">
      <alignment horizontal="left" indent="1"/>
    </xf>
    <xf numFmtId="0" fontId="15" fillId="5" borderId="0" xfId="0" applyFont="1" applyFill="1" applyAlignment="1">
      <alignment horizontal="left" indent="1"/>
    </xf>
    <xf numFmtId="0" fontId="27" fillId="5" borderId="0" xfId="0" applyFont="1" applyFill="1" applyAlignment="1" applyProtection="1">
      <alignment horizontal="left" vertical="center" wrapText="1" indent="1"/>
      <protection hidden="1"/>
    </xf>
    <xf numFmtId="0" fontId="32" fillId="5" borderId="0" xfId="0" applyFont="1" applyFill="1" applyAlignment="1" applyProtection="1">
      <alignment horizontal="left" vertical="center" wrapText="1" indent="1"/>
      <protection hidden="1"/>
    </xf>
    <xf numFmtId="0" fontId="36" fillId="5" borderId="37" xfId="0" applyFont="1" applyFill="1" applyBorder="1" applyAlignment="1">
      <alignment horizontal="left" indent="1"/>
    </xf>
    <xf numFmtId="0" fontId="36" fillId="8" borderId="12" xfId="0" applyFont="1" applyFill="1" applyBorder="1" applyAlignment="1">
      <alignment horizontal="right" vertical="center" indent="1"/>
    </xf>
    <xf numFmtId="49" fontId="15" fillId="5" borderId="33" xfId="0" applyNumberFormat="1" applyFont="1" applyFill="1" applyBorder="1" applyAlignment="1">
      <alignment horizontal="right" vertical="top" wrapText="1" indent="1"/>
    </xf>
    <xf numFmtId="0" fontId="15" fillId="5" borderId="33" xfId="0" applyFont="1" applyFill="1" applyBorder="1" applyAlignment="1">
      <alignment horizontal="right" vertical="top" wrapText="1" indent="1"/>
    </xf>
    <xf numFmtId="0" fontId="15" fillId="0" borderId="33" xfId="0" applyFont="1" applyBorder="1" applyAlignment="1">
      <alignment horizontal="right" vertical="top" wrapText="1" indent="1"/>
    </xf>
    <xf numFmtId="0" fontId="0" fillId="2" borderId="0" xfId="0" applyFill="1" applyAlignment="1">
      <alignment horizontal="center"/>
    </xf>
    <xf numFmtId="0" fontId="18" fillId="5" borderId="0" xfId="0" applyFont="1" applyFill="1" applyAlignment="1"/>
  </cellXfs>
  <cellStyles count="48">
    <cellStyle name="_x000a_bidires=100_x000a_" xfId="3" xr:uid="{915EB7C4-9757-417B-A4B8-CAB6B6443803}"/>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6"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 builtinId="8"/>
    <cellStyle name="Input" xfId="15" builtinId="20" customBuiltin="1"/>
    <cellStyle name="Linked Cell" xfId="18" builtinId="24" customBuiltin="1"/>
    <cellStyle name="Neutral" xfId="14" builtinId="28" customBuiltin="1"/>
    <cellStyle name="Normal" xfId="0" builtinId="0"/>
    <cellStyle name="Note" xfId="21" builtinId="10" customBuiltin="1"/>
    <cellStyle name="Output" xfId="16" builtinId="21" customBuiltin="1"/>
    <cellStyle name="Percent" xfId="2" builtinId="5"/>
    <cellStyle name="Percent 9" xfId="7" xr:uid="{A6E287B4-831F-4DA5-AA0D-81738905C31D}"/>
    <cellStyle name="Style 1" xfId="4" xr:uid="{4A6ABBBD-225B-40F1-B84C-2AC910BA6945}"/>
    <cellStyle name="Title" xfId="8" builtinId="15" customBuiltin="1"/>
    <cellStyle name="Total" xfId="23" builtinId="25" customBuiltin="1"/>
    <cellStyle name="Warning Text" xfId="20" builtinId="11" customBuiltin="1"/>
  </cellStyles>
  <dxfs count="71">
    <dxf>
      <font>
        <b/>
        <i val="0"/>
        <color rgb="FFC00000"/>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s>
  <tableStyles count="0" defaultTableStyle="TableStyleMedium2" defaultPivotStyle="PivotStyleLight16"/>
  <colors>
    <mruColors>
      <color rgb="FFCAEAC8"/>
      <color rgb="FFFFFDF7"/>
      <color rgb="FFEAF3FA"/>
      <color rgb="FFF6FAF4"/>
      <color rgb="FFFFF7E1"/>
      <color rgb="FFFBFBFB"/>
      <color rgb="FFEAB200"/>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92551768466944E-2"/>
          <c:y val="1.9254548270900469E-2"/>
          <c:w val="0.91527070126664756"/>
          <c:h val="0.80107020947847818"/>
        </c:manualLayout>
      </c:layout>
      <c:lineChart>
        <c:grouping val="standard"/>
        <c:varyColors val="0"/>
        <c:ser>
          <c:idx val="3"/>
          <c:order val="0"/>
          <c:tx>
            <c:v>Universe Index Absolute Carbon Emissions (GtCO2e)</c:v>
          </c:tx>
          <c:spPr>
            <a:ln w="28575" cap="rnd">
              <a:solidFill>
                <a:srgbClr val="002060"/>
              </a:solidFill>
              <a:round/>
            </a:ln>
            <a:effectLst/>
          </c:spPr>
          <c:marker>
            <c:symbol val="none"/>
          </c:marker>
          <c:cat>
            <c:numRef>
              <c:f>REF!$U$4:$U$123</c:f>
              <c:numCache>
                <c:formatCode>m/d/yyyy</c:formatCode>
                <c:ptCount val="120"/>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45350</c:v>
                </c:pt>
                <c:pt idx="24">
                  <c:v>45382</c:v>
                </c:pt>
                <c:pt idx="25">
                  <c:v>45412</c:v>
                </c:pt>
                <c:pt idx="26">
                  <c:v>45443</c:v>
                </c:pt>
                <c:pt idx="27">
                  <c:v>45473</c:v>
                </c:pt>
                <c:pt idx="28">
                  <c:v>45504</c:v>
                </c:pt>
                <c:pt idx="29">
                  <c:v>45535</c:v>
                </c:pt>
                <c:pt idx="30">
                  <c:v>0</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46811</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48272</c:v>
                </c:pt>
              </c:numCache>
            </c:numRef>
          </c:cat>
          <c:val>
            <c:numRef>
              <c:f>REF!$W$4:$W$123</c:f>
              <c:numCache>
                <c:formatCode>0.00</c:formatCode>
                <c:ptCount val="120"/>
                <c:pt idx="0">
                  <c:v>38811702.4108513</c:v>
                </c:pt>
                <c:pt idx="1">
                  <c:v>39030877.017535798</c:v>
                </c:pt>
                <c:pt idx="2">
                  <c:v>38525742.904932402</c:v>
                </c:pt>
                <c:pt idx="3">
                  <c:v>35797405.459961303</c:v>
                </c:pt>
                <c:pt idx="4">
                  <c:v>41456638.966018103</c:v>
                </c:pt>
                <c:pt idx="5">
                  <c:v>41207952.271033302</c:v>
                </c:pt>
                <c:pt idx="6">
                  <c:v>36744368.285252102</c:v>
                </c:pt>
                <c:pt idx="7">
                  <c:v>38375793.915126503</c:v>
                </c:pt>
                <c:pt idx="8">
                  <c:v>37097339.962536603</c:v>
                </c:pt>
                <c:pt idx="9">
                  <c:v>36723682.998461403</c:v>
                </c:pt>
                <c:pt idx="10">
                  <c:v>35918200.404645301</c:v>
                </c:pt>
                <c:pt idx="11">
                  <c:v>35647692.4984475</c:v>
                </c:pt>
                <c:pt idx="12">
                  <c:v>36739599.914886199</c:v>
                </c:pt>
                <c:pt idx="13">
                  <c:v>41988438.821379602</c:v>
                </c:pt>
                <c:pt idx="14">
                  <c:v>40140010.051858097</c:v>
                </c:pt>
                <c:pt idx="15">
                  <c:v>41824094.096284002</c:v>
                </c:pt>
                <c:pt idx="16">
                  <c:v>39014504.108002499</c:v>
                </c:pt>
                <c:pt idx="17">
                  <c:v>38733688.212963499</c:v>
                </c:pt>
                <c:pt idx="18">
                  <c:v>37920655.649989299</c:v>
                </c:pt>
                <c:pt idx="19">
                  <c:v>33970669.8797663</c:v>
                </c:pt>
                <c:pt idx="20">
                  <c:v>34413163.203239098</c:v>
                </c:pt>
                <c:pt idx="21">
                  <c:v>34137345.0898332</c:v>
                </c:pt>
                <c:pt idx="22">
                  <c:v>33522821</c:v>
                </c:pt>
                <c:pt idx="23">
                  <c:v>34006422</c:v>
                </c:pt>
                <c:pt idx="24">
                  <c:v>33461530</c:v>
                </c:pt>
                <c:pt idx="25">
                  <c:v>32991211</c:v>
                </c:pt>
                <c:pt idx="26">
                  <c:v>36333355</c:v>
                </c:pt>
                <c:pt idx="27">
                  <c:v>34513885.113776401</c:v>
                </c:pt>
                <c:pt idx="28">
                  <c:v>33433586</c:v>
                </c:pt>
                <c:pt idx="29">
                  <c:v>33856537</c:v>
                </c:pt>
                <c:pt idx="30">
                  <c:v>33305912</c:v>
                </c:pt>
                <c:pt idx="31">
                  <c:v>31015328.9363873</c:v>
                </c:pt>
                <c:pt idx="32">
                  <c:v>32294797</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0-2E0F-4B31-B82C-66F2E11335F3}"/>
            </c:ext>
          </c:extLst>
        </c:ser>
        <c:ser>
          <c:idx val="4"/>
          <c:order val="1"/>
          <c:tx>
            <c:strRef>
              <c:f>REF!$Y$3</c:f>
              <c:strCache>
                <c:ptCount val="1"/>
                <c:pt idx="0">
                  <c:v>Universe Index (-50% Universe Index Absolute Emissions)</c:v>
                </c:pt>
              </c:strCache>
            </c:strRef>
          </c:tx>
          <c:spPr>
            <a:ln w="38100" cap="rnd">
              <a:solidFill>
                <a:srgbClr val="002060"/>
              </a:solidFill>
              <a:prstDash val="sysDot"/>
              <a:round/>
            </a:ln>
            <a:effectLst/>
          </c:spPr>
          <c:marker>
            <c:symbol val="none"/>
          </c:marker>
          <c:cat>
            <c:numRef>
              <c:f>REF!$U$4:$U$123</c:f>
              <c:numCache>
                <c:formatCode>m/d/yyyy</c:formatCode>
                <c:ptCount val="120"/>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45350</c:v>
                </c:pt>
                <c:pt idx="24">
                  <c:v>45382</c:v>
                </c:pt>
                <c:pt idx="25">
                  <c:v>45412</c:v>
                </c:pt>
                <c:pt idx="26">
                  <c:v>45443</c:v>
                </c:pt>
                <c:pt idx="27">
                  <c:v>45473</c:v>
                </c:pt>
                <c:pt idx="28">
                  <c:v>45504</c:v>
                </c:pt>
                <c:pt idx="29">
                  <c:v>45535</c:v>
                </c:pt>
                <c:pt idx="30">
                  <c:v>0</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46811</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48272</c:v>
                </c:pt>
              </c:numCache>
            </c:numRef>
          </c:cat>
          <c:val>
            <c:numRef>
              <c:f>REF!$Y$4:$Y$123</c:f>
              <c:numCache>
                <c:formatCode>0.00</c:formatCode>
                <c:ptCount val="120"/>
                <c:pt idx="0">
                  <c:v>19405851.20542565</c:v>
                </c:pt>
                <c:pt idx="1">
                  <c:v>19515438.508767899</c:v>
                </c:pt>
                <c:pt idx="2">
                  <c:v>19262871.452466201</c:v>
                </c:pt>
                <c:pt idx="3">
                  <c:v>17898702.729980651</c:v>
                </c:pt>
                <c:pt idx="4">
                  <c:v>20728319.483009052</c:v>
                </c:pt>
                <c:pt idx="5">
                  <c:v>20603976.135516651</c:v>
                </c:pt>
                <c:pt idx="6">
                  <c:v>18372184.142626051</c:v>
                </c:pt>
                <c:pt idx="7">
                  <c:v>19187896.957563251</c:v>
                </c:pt>
                <c:pt idx="8">
                  <c:v>18548669.981268302</c:v>
                </c:pt>
                <c:pt idx="9">
                  <c:v>18361841.499230701</c:v>
                </c:pt>
                <c:pt idx="10">
                  <c:v>17959100.202322651</c:v>
                </c:pt>
                <c:pt idx="11">
                  <c:v>17823846.24922375</c:v>
                </c:pt>
                <c:pt idx="12">
                  <c:v>18369799.957443099</c:v>
                </c:pt>
                <c:pt idx="13">
                  <c:v>20994219.410689801</c:v>
                </c:pt>
                <c:pt idx="14">
                  <c:v>20070005.025929049</c:v>
                </c:pt>
                <c:pt idx="15">
                  <c:v>20912047.048142001</c:v>
                </c:pt>
                <c:pt idx="16">
                  <c:v>19507252.054001249</c:v>
                </c:pt>
                <c:pt idx="17">
                  <c:v>19366844.10648175</c:v>
                </c:pt>
                <c:pt idx="18">
                  <c:v>18960327.82499465</c:v>
                </c:pt>
                <c:pt idx="19">
                  <c:v>16985334.93988315</c:v>
                </c:pt>
                <c:pt idx="20">
                  <c:v>17206581.601619549</c:v>
                </c:pt>
                <c:pt idx="21">
                  <c:v>17068672.5449166</c:v>
                </c:pt>
                <c:pt idx="22">
                  <c:v>16761410.5</c:v>
                </c:pt>
                <c:pt idx="23">
                  <c:v>17003211</c:v>
                </c:pt>
                <c:pt idx="24">
                  <c:v>16730765</c:v>
                </c:pt>
                <c:pt idx="25">
                  <c:v>16495605.5</c:v>
                </c:pt>
                <c:pt idx="26">
                  <c:v>18166677.5</c:v>
                </c:pt>
                <c:pt idx="27">
                  <c:v>17256942.5568882</c:v>
                </c:pt>
                <c:pt idx="28">
                  <c:v>16716793</c:v>
                </c:pt>
                <c:pt idx="29">
                  <c:v>16928268.5</c:v>
                </c:pt>
                <c:pt idx="30">
                  <c:v>16652956</c:v>
                </c:pt>
                <c:pt idx="31">
                  <c:v>15507664.46819365</c:v>
                </c:pt>
                <c:pt idx="32">
                  <c:v>16147398.5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1-2E0F-4B31-B82C-66F2E11335F3}"/>
            </c:ext>
          </c:extLst>
        </c:ser>
        <c:ser>
          <c:idx val="0"/>
          <c:order val="2"/>
          <c:tx>
            <c:strRef>
              <c:f>REF!$Z$3</c:f>
              <c:strCache>
                <c:ptCount val="1"/>
                <c:pt idx="0">
                  <c:v> -7% Self-Decarbonization Trajectory</c:v>
                </c:pt>
              </c:strCache>
            </c:strRef>
          </c:tx>
          <c:spPr>
            <a:ln w="28575" cap="rnd">
              <a:solidFill>
                <a:schemeClr val="accent4"/>
              </a:solidFill>
              <a:prstDash val="sysDot"/>
              <a:round/>
            </a:ln>
            <a:effectLst/>
          </c:spPr>
          <c:marker>
            <c:symbol val="none"/>
          </c:marker>
          <c:cat>
            <c:numRef>
              <c:f>REF!$U$4:$U$123</c:f>
              <c:numCache>
                <c:formatCode>m/d/yyyy</c:formatCode>
                <c:ptCount val="120"/>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45350</c:v>
                </c:pt>
                <c:pt idx="24">
                  <c:v>45382</c:v>
                </c:pt>
                <c:pt idx="25">
                  <c:v>45412</c:v>
                </c:pt>
                <c:pt idx="26">
                  <c:v>45443</c:v>
                </c:pt>
                <c:pt idx="27">
                  <c:v>45473</c:v>
                </c:pt>
                <c:pt idx="28">
                  <c:v>45504</c:v>
                </c:pt>
                <c:pt idx="29">
                  <c:v>45535</c:v>
                </c:pt>
                <c:pt idx="30">
                  <c:v>0</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46811</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48272</c:v>
                </c:pt>
              </c:numCache>
            </c:numRef>
          </c:cat>
          <c:val>
            <c:numRef>
              <c:f>REF!$Z$4:$Z$123</c:f>
              <c:numCache>
                <c:formatCode>0.00</c:formatCode>
                <c:ptCount val="120"/>
                <c:pt idx="0">
                  <c:v>19405851.20542565</c:v>
                </c:pt>
                <c:pt idx="1">
                  <c:v>19288847.350222718</c:v>
                </c:pt>
                <c:pt idx="2">
                  <c:v>19172548.947307728</c:v>
                </c:pt>
                <c:pt idx="3">
                  <c:v>19056951.743291516</c:v>
                </c:pt>
                <c:pt idx="4">
                  <c:v>18942051.510429896</c:v>
                </c:pt>
                <c:pt idx="5">
                  <c:v>18827844.04646907</c:v>
                </c:pt>
                <c:pt idx="6">
                  <c:v>18714325.174491912</c:v>
                </c:pt>
                <c:pt idx="7">
                  <c:v>18601490.742765225</c:v>
                </c:pt>
                <c:pt idx="8">
                  <c:v>18489336.624587886</c:v>
                </c:pt>
                <c:pt idx="9">
                  <c:v>18377858.718139924</c:v>
                </c:pt>
                <c:pt idx="10">
                  <c:v>18267052.946332503</c:v>
                </c:pt>
                <c:pt idx="11">
                  <c:v>18156915.256658811</c:v>
                </c:pt>
                <c:pt idx="12">
                  <c:v>18047441.621045854</c:v>
                </c:pt>
                <c:pt idx="13">
                  <c:v>17938628.035707127</c:v>
                </c:pt>
                <c:pt idx="14">
                  <c:v>17830470.520996191</c:v>
                </c:pt>
                <c:pt idx="15">
                  <c:v>17722965.121261109</c:v>
                </c:pt>
                <c:pt idx="16">
                  <c:v>17616107.904699802</c:v>
                </c:pt>
                <c:pt idx="17">
                  <c:v>17509894.963216234</c:v>
                </c:pt>
                <c:pt idx="18">
                  <c:v>17404322.412277479</c:v>
                </c:pt>
                <c:pt idx="19">
                  <c:v>17299386.390771661</c:v>
                </c:pt>
                <c:pt idx="20">
                  <c:v>17195083.060866736</c:v>
                </c:pt>
                <c:pt idx="21">
                  <c:v>17091408.607870132</c:v>
                </c:pt>
                <c:pt idx="22">
                  <c:v>16988359.24008923</c:v>
                </c:pt>
                <c:pt idx="23">
                  <c:v>16885931.188692696</c:v>
                </c:pt>
                <c:pt idx="24">
                  <c:v>16784120.707572646</c:v>
                </c:pt>
                <c:pt idx="25">
                  <c:v>16682924.07320763</c:v>
                </c:pt>
                <c:pt idx="26">
                  <c:v>16582337.584526457</c:v>
                </c:pt>
                <c:pt idx="27">
                  <c:v>16482357.562772831</c:v>
                </c:pt>
                <c:pt idx="28">
                  <c:v>16382980.351370817</c:v>
                </c:pt>
                <c:pt idx="29">
                  <c:v>16284202.315791098</c:v>
                </c:pt>
                <c:pt idx="30">
                  <c:v>16186019.843418058</c:v>
                </c:pt>
                <c:pt idx="31">
                  <c:v>16088429.343417646</c:v>
                </c:pt>
                <c:pt idx="32">
                  <c:v>15991427.246606067</c:v>
                </c:pt>
                <c:pt idx="33">
                  <c:v>15895010.005319221</c:v>
                </c:pt>
                <c:pt idx="34">
                  <c:v>15799174.093282983</c:v>
                </c:pt>
                <c:pt idx="35">
                  <c:v>15703916.005484208</c:v>
                </c:pt>
                <c:pt idx="36">
                  <c:v>15609232.258042561</c:v>
                </c:pt>
                <c:pt idx="37">
                  <c:v>15515119.388083097</c:v>
                </c:pt>
                <c:pt idx="38">
                  <c:v>15421573.953609606</c:v>
                </c:pt>
                <c:pt idx="39">
                  <c:v>15328592.533378735</c:v>
                </c:pt>
                <c:pt idx="40">
                  <c:v>15236171.726774862</c:v>
                </c:pt>
                <c:pt idx="41">
                  <c:v>15144308.153685724</c:v>
                </c:pt>
                <c:pt idx="42">
                  <c:v>15052998.454378793</c:v>
                </c:pt>
                <c:pt idx="43">
                  <c:v>14962239.28937841</c:v>
                </c:pt>
                <c:pt idx="44">
                  <c:v>14872027.339343643</c:v>
                </c:pt>
                <c:pt idx="45">
                  <c:v>14782359.304946877</c:v>
                </c:pt>
                <c:pt idx="46">
                  <c:v>14693231.906753175</c:v>
                </c:pt>
                <c:pt idx="47">
                  <c:v>14604641.885100314</c:v>
                </c:pt>
                <c:pt idx="48">
                  <c:v>14516585.999979584</c:v>
                </c:pt>
                <c:pt idx="49">
                  <c:v>14429061.030917283</c:v>
                </c:pt>
                <c:pt idx="50">
                  <c:v>14342063.776856933</c:v>
                </c:pt>
                <c:pt idx="51">
                  <c:v>14255591.056042224</c:v>
                </c:pt>
                <c:pt idx="52">
                  <c:v>14169639.705900623</c:v>
                </c:pt>
                <c:pt idx="53">
                  <c:v>14084206.582927722</c:v>
                </c:pt>
                <c:pt idx="54">
                  <c:v>13999288.562572278</c:v>
                </c:pt>
                <c:pt idx="55">
                  <c:v>13914882.539121924</c:v>
                </c:pt>
                <c:pt idx="56">
                  <c:v>13830985.425589588</c:v>
                </c:pt>
                <c:pt idx="57">
                  <c:v>13747594.153600596</c:v>
                </c:pt>
                <c:pt idx="58">
                  <c:v>13664705.673280453</c:v>
                </c:pt>
                <c:pt idx="59">
                  <c:v>13582316.953143291</c:v>
                </c:pt>
                <c:pt idx="60">
                  <c:v>13500424.979981015</c:v>
                </c:pt>
                <c:pt idx="61">
                  <c:v>13419026.758753072</c:v>
                </c:pt>
                <c:pt idx="62">
                  <c:v>13338119.31247695</c:v>
                </c:pt>
                <c:pt idx="63">
                  <c:v>13257699.682119269</c:v>
                </c:pt>
                <c:pt idx="64">
                  <c:v>13177764.92648758</c:v>
                </c:pt>
                <c:pt idx="65">
                  <c:v>13098312.122122783</c:v>
                </c:pt>
                <c:pt idx="66">
                  <c:v>13019338.363192219</c:v>
                </c:pt>
                <c:pt idx="67">
                  <c:v>12940840.76138339</c:v>
                </c:pt>
                <c:pt idx="68">
                  <c:v>12862816.445798317</c:v>
                </c:pt>
                <c:pt idx="69">
                  <c:v>12785262.562848555</c:v>
                </c:pt>
                <c:pt idx="70">
                  <c:v>12708176.276150823</c:v>
                </c:pt>
                <c:pt idx="71">
                  <c:v>12631554.766423263</c:v>
                </c:pt>
                <c:pt idx="72">
                  <c:v>12555395.231382344</c:v>
                </c:pt>
                <c:pt idx="73">
                  <c:v>12479694.885640359</c:v>
                </c:pt>
                <c:pt idx="74">
                  <c:v>12404450.960603565</c:v>
                </c:pt>
                <c:pt idx="75">
                  <c:v>12329660.704370921</c:v>
                </c:pt>
                <c:pt idx="76">
                  <c:v>12255321.381633451</c:v>
                </c:pt>
                <c:pt idx="77">
                  <c:v>12181430.27357419</c:v>
                </c:pt>
                <c:pt idx="78">
                  <c:v>12107984.677768765</c:v>
                </c:pt>
                <c:pt idx="79">
                  <c:v>12034981.908086553</c:v>
                </c:pt>
                <c:pt idx="80">
                  <c:v>11962419.294592435</c:v>
                </c:pt>
                <c:pt idx="81">
                  <c:v>11890294.183449158</c:v>
                </c:pt>
                <c:pt idx="82">
                  <c:v>11818603.936820265</c:v>
                </c:pt>
                <c:pt idx="83">
                  <c:v>11747345.932773635</c:v>
                </c:pt>
                <c:pt idx="84">
                  <c:v>11676517.56518558</c:v>
                </c:pt>
                <c:pt idx="85">
                  <c:v>11606116.243645532</c:v>
                </c:pt>
                <c:pt idx="86">
                  <c:v>11536139.393361315</c:v>
                </c:pt>
                <c:pt idx="87">
                  <c:v>11466584.455064958</c:v>
                </c:pt>
                <c:pt idx="88">
                  <c:v>11397448.884919109</c:v>
                </c:pt>
                <c:pt idx="89">
                  <c:v>11328730.154423997</c:v>
                </c:pt>
                <c:pt idx="90">
                  <c:v>11260425.750324953</c:v>
                </c:pt>
                <c:pt idx="91">
                  <c:v>11192533.174520494</c:v>
                </c:pt>
                <c:pt idx="92">
                  <c:v>11125049.943970967</c:v>
                </c:pt>
                <c:pt idx="93">
                  <c:v>11057973.590607718</c:v>
                </c:pt>
                <c:pt idx="94">
                  <c:v>10991301.661242846</c:v>
                </c:pt>
                <c:pt idx="95">
                  <c:v>10925031.717479482</c:v>
                </c:pt>
                <c:pt idx="96">
                  <c:v>10859161.335622592</c:v>
                </c:pt>
                <c:pt idx="97">
                  <c:v>10793688.106590346</c:v>
                </c:pt>
                <c:pt idx="98">
                  <c:v>10728609.635826023</c:v>
                </c:pt>
                <c:pt idx="99">
                  <c:v>10663923.543210411</c:v>
                </c:pt>
                <c:pt idx="100">
                  <c:v>10599627.462974772</c:v>
                </c:pt>
                <c:pt idx="101">
                  <c:v>10535719.043614319</c:v>
                </c:pt>
                <c:pt idx="102">
                  <c:v>10472195.947802207</c:v>
                </c:pt>
                <c:pt idx="103">
                  <c:v>10409055.852304062</c:v>
                </c:pt>
                <c:pt idx="104">
                  <c:v>10346296.447892999</c:v>
                </c:pt>
                <c:pt idx="105">
                  <c:v>10283915.439265177</c:v>
                </c:pt>
                <c:pt idx="106">
                  <c:v>10221910.544955848</c:v>
                </c:pt>
                <c:pt idx="107">
                  <c:v>10160279.49725592</c:v>
                </c:pt>
                <c:pt idx="108">
                  <c:v>10099020.04212901</c:v>
                </c:pt>
                <c:pt idx="109">
                  <c:v>10038129.939129023</c:v>
                </c:pt>
                <c:pt idx="110">
                  <c:v>9977606.9613182042</c:v>
                </c:pt>
                <c:pt idx="111">
                  <c:v>9917448.8951856848</c:v>
                </c:pt>
                <c:pt idx="112">
                  <c:v>9857653.5405665375</c:v>
                </c:pt>
                <c:pt idx="113">
                  <c:v>9798218.7105613146</c:v>
                </c:pt>
                <c:pt idx="114">
                  <c:v>9739142.2314560525</c:v>
                </c:pt>
                <c:pt idx="115">
                  <c:v>9680421.9426427763</c:v>
                </c:pt>
                <c:pt idx="116">
                  <c:v>9622055.6965404879</c:v>
                </c:pt>
                <c:pt idx="117">
                  <c:v>9564041.3585166149</c:v>
                </c:pt>
                <c:pt idx="118">
                  <c:v>9506376.8068089392</c:v>
                </c:pt>
                <c:pt idx="119">
                  <c:v>9449059.9324480053</c:v>
                </c:pt>
              </c:numCache>
            </c:numRef>
          </c:val>
          <c:smooth val="0"/>
          <c:extLst>
            <c:ext xmlns:c16="http://schemas.microsoft.com/office/drawing/2014/chart" uri="{C3380CC4-5D6E-409C-BE32-E72D297353CC}">
              <c16:uniqueId val="{00000002-2E0F-4B31-B82C-66F2E11335F3}"/>
            </c:ext>
          </c:extLst>
        </c:ser>
        <c:ser>
          <c:idx val="1"/>
          <c:order val="3"/>
          <c:tx>
            <c:strRef>
              <c:f>REF!$S$3</c:f>
              <c:strCache>
                <c:ptCount val="1"/>
                <c:pt idx="0">
                  <c:v>EU PAB Index Absolute Carbon Emissions (GtCO2e)</c:v>
                </c:pt>
              </c:strCache>
            </c:strRef>
          </c:tx>
          <c:spPr>
            <a:ln w="28575" cap="rnd">
              <a:solidFill>
                <a:srgbClr val="00B0F0"/>
              </a:solidFill>
              <a:round/>
            </a:ln>
            <a:effectLst/>
          </c:spPr>
          <c:marker>
            <c:symbol val="none"/>
          </c:marker>
          <c:cat>
            <c:numRef>
              <c:f>REF!$U$4:$U$123</c:f>
              <c:numCache>
                <c:formatCode>m/d/yyyy</c:formatCode>
                <c:ptCount val="120"/>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45350</c:v>
                </c:pt>
                <c:pt idx="24">
                  <c:v>45382</c:v>
                </c:pt>
                <c:pt idx="25">
                  <c:v>45412</c:v>
                </c:pt>
                <c:pt idx="26">
                  <c:v>45443</c:v>
                </c:pt>
                <c:pt idx="27">
                  <c:v>45473</c:v>
                </c:pt>
                <c:pt idx="28">
                  <c:v>45504</c:v>
                </c:pt>
                <c:pt idx="29">
                  <c:v>45535</c:v>
                </c:pt>
                <c:pt idx="30">
                  <c:v>0</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46811</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48272</c:v>
                </c:pt>
              </c:numCache>
            </c:numRef>
          </c:cat>
          <c:val>
            <c:numRef>
              <c:f>REF!$AA$4:$AA$123</c:f>
              <c:numCache>
                <c:formatCode>0.00</c:formatCode>
                <c:ptCount val="120"/>
                <c:pt idx="0">
                  <c:v>18920704.925290007</c:v>
                </c:pt>
                <c:pt idx="1">
                  <c:v>18806626.166467149</c:v>
                </c:pt>
                <c:pt idx="2">
                  <c:v>18693235.223625034</c:v>
                </c:pt>
                <c:pt idx="3">
                  <c:v>17451235.161731135</c:v>
                </c:pt>
                <c:pt idx="4">
                  <c:v>18468500.222669147</c:v>
                </c:pt>
                <c:pt idx="5">
                  <c:v>18357147.945307344</c:v>
                </c:pt>
                <c:pt idx="6">
                  <c:v>17912879.539060399</c:v>
                </c:pt>
                <c:pt idx="7">
                  <c:v>18136453.474196095</c:v>
                </c:pt>
                <c:pt idx="8">
                  <c:v>18027103.208973188</c:v>
                </c:pt>
                <c:pt idx="9">
                  <c:v>17902795.461749934</c:v>
                </c:pt>
                <c:pt idx="10">
                  <c:v>17510122.697264586</c:v>
                </c:pt>
                <c:pt idx="11">
                  <c:v>17378250.092993155</c:v>
                </c:pt>
                <c:pt idx="12">
                  <c:v>17596255.580519706</c:v>
                </c:pt>
                <c:pt idx="13">
                  <c:v>17490162.334814448</c:v>
                </c:pt>
                <c:pt idx="14">
                  <c:v>17384708.757971287</c:v>
                </c:pt>
                <c:pt idx="15">
                  <c:v>17279890.993229579</c:v>
                </c:pt>
                <c:pt idx="16">
                  <c:v>17175705.207082305</c:v>
                </c:pt>
                <c:pt idx="17">
                  <c:v>17072147.589135829</c:v>
                </c:pt>
                <c:pt idx="18">
                  <c:v>16969214.351970542</c:v>
                </c:pt>
                <c:pt idx="19">
                  <c:v>16560701.56638607</c:v>
                </c:pt>
                <c:pt idx="20">
                  <c:v>16765205.984345067</c:v>
                </c:pt>
                <c:pt idx="21">
                  <c:v>16641955.731293684</c:v>
                </c:pt>
                <c:pt idx="22">
                  <c:v>16342375.237499999</c:v>
                </c:pt>
                <c:pt idx="23">
                  <c:v>16463782.908975378</c:v>
                </c:pt>
                <c:pt idx="24">
                  <c:v>16312495.875</c:v>
                </c:pt>
                <c:pt idx="25">
                  <c:v>16083215.362499999</c:v>
                </c:pt>
                <c:pt idx="26">
                  <c:v>16167779.144913295</c:v>
                </c:pt>
                <c:pt idx="27">
                  <c:v>16070298.62370351</c:v>
                </c:pt>
                <c:pt idx="28">
                  <c:v>15973405.842586547</c:v>
                </c:pt>
                <c:pt idx="29">
                  <c:v>15877097.257896321</c:v>
                </c:pt>
                <c:pt idx="30">
                  <c:v>15781369.347332606</c:v>
                </c:pt>
                <c:pt idx="31">
                  <c:v>15119972.856488809</c:v>
                </c:pt>
                <c:pt idx="32">
                  <c:v>15591641.565440916</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3-2E0F-4B31-B82C-66F2E11335F3}"/>
            </c:ext>
          </c:extLst>
        </c:ser>
        <c:dLbls>
          <c:showLegendKey val="0"/>
          <c:showVal val="0"/>
          <c:showCatName val="0"/>
          <c:showSerName val="0"/>
          <c:showPercent val="0"/>
          <c:showBubbleSize val="0"/>
        </c:dLbls>
        <c:smooth val="0"/>
        <c:axId val="66189519"/>
        <c:axId val="66190503"/>
        <c:extLst/>
      </c:lineChart>
      <c:catAx>
        <c:axId val="66189519"/>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190503"/>
        <c:crosses val="autoZero"/>
        <c:auto val="0"/>
        <c:lblAlgn val="ctr"/>
        <c:lblOffset val="100"/>
        <c:tickLblSkip val="4"/>
        <c:noMultiLvlLbl val="0"/>
      </c:catAx>
      <c:valAx>
        <c:axId val="661905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1">
                    <a:latin typeface="Arial" panose="020B0604020202020204" pitchFamily="34" charset="0"/>
                    <a:cs typeface="Arial" panose="020B0604020202020204" pitchFamily="34" charset="0"/>
                  </a:rPr>
                  <a:t>Index Emissions (GtCO</a:t>
                </a:r>
                <a:r>
                  <a:rPr lang="en-US" sz="1050" b="1" baseline="-25000">
                    <a:latin typeface="Arial" panose="020B0604020202020204" pitchFamily="34" charset="0"/>
                    <a:cs typeface="Arial" panose="020B0604020202020204" pitchFamily="34" charset="0"/>
                  </a:rPr>
                  <a:t>2</a:t>
                </a:r>
                <a:r>
                  <a:rPr lang="en-US" sz="1050" b="1">
                    <a:latin typeface="Arial" panose="020B0604020202020204" pitchFamily="34" charset="0"/>
                    <a:cs typeface="Arial" panose="020B0604020202020204" pitchFamily="34" charset="0"/>
                  </a:rPr>
                  <a:t>e)</a:t>
                </a:r>
              </a:p>
            </c:rich>
          </c:tx>
          <c:layout>
            <c:manualLayout>
              <c:xMode val="edge"/>
              <c:yMode val="edge"/>
              <c:x val="1.4220573735187644E-2"/>
              <c:y val="0.1945567888820939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189519"/>
        <c:crosses val="autoZero"/>
        <c:crossBetween val="midCat"/>
      </c:valAx>
      <c:spPr>
        <a:noFill/>
        <a:ln>
          <a:noFill/>
        </a:ln>
        <a:effectLst/>
      </c:spPr>
    </c:plotArea>
    <c:legend>
      <c:legendPos val="b"/>
      <c:legendEntry>
        <c:idx val="0"/>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2"/>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3"/>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3.9976026088208452E-2"/>
          <c:y val="0.92897810917194867"/>
          <c:w val="0.94028520527653792"/>
          <c:h val="6.309062980266179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spglobal.com/spdji/en/documents/education/faq-spdji-eu-low-carbon-benchmark-regulation.pdf" TargetMode="External"/><Relationship Id="rId5" Type="http://schemas.openxmlformats.org/officeDocument/2006/relationships/image" Target="../media/image3.png"/><Relationship Id="rId4" Type="http://schemas.openxmlformats.org/officeDocument/2006/relationships/hyperlink" Target="https://www.spglobal.com/spdji/en/documents/education/faq-spdji-approach-to-the-eu-low-carbon-benchmark-regulation-disclosure-requirements.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29524</xdr:colOff>
      <xdr:row>20</xdr:row>
      <xdr:rowOff>33836</xdr:rowOff>
    </xdr:from>
    <xdr:ext cx="419101" cy="419101"/>
    <xdr:pic>
      <xdr:nvPicPr>
        <xdr:cNvPr id="5" name="Graphic 4" descr="Contract with solid fill">
          <a:hlinkClick xmlns:r="http://schemas.openxmlformats.org/officeDocument/2006/relationships" r:id="rId1"/>
          <a:extLst>
            <a:ext uri="{FF2B5EF4-FFF2-40B4-BE49-F238E27FC236}">
              <a16:creationId xmlns:a16="http://schemas.microsoft.com/office/drawing/2014/main" id="{9ABE3FBF-C5CD-414F-9CBC-407E1008B7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9112" y="8516689"/>
          <a:ext cx="419101" cy="419101"/>
        </a:xfrm>
        <a:prstGeom prst="rect">
          <a:avLst/>
        </a:prstGeom>
      </xdr:spPr>
    </xdr:pic>
    <xdr:clientData/>
  </xdr:oneCellAnchor>
  <xdr:oneCellAnchor>
    <xdr:from>
      <xdr:col>2</xdr:col>
      <xdr:colOff>29524</xdr:colOff>
      <xdr:row>22</xdr:row>
      <xdr:rowOff>79857</xdr:rowOff>
    </xdr:from>
    <xdr:ext cx="419101" cy="419101"/>
    <xdr:pic>
      <xdr:nvPicPr>
        <xdr:cNvPr id="6" name="Graphic 5" descr="Contract with solid fill">
          <a:hlinkClick xmlns:r="http://schemas.openxmlformats.org/officeDocument/2006/relationships" r:id="rId4"/>
          <a:extLst>
            <a:ext uri="{FF2B5EF4-FFF2-40B4-BE49-F238E27FC236}">
              <a16:creationId xmlns:a16="http://schemas.microsoft.com/office/drawing/2014/main" id="{E444C051-4780-4863-B526-ABBB3B5BB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9112" y="9235063"/>
          <a:ext cx="419101" cy="419101"/>
        </a:xfrm>
        <a:prstGeom prst="rect">
          <a:avLst/>
        </a:prstGeom>
      </xdr:spPr>
    </xdr:pic>
    <xdr:clientData/>
  </xdr:oneCellAnchor>
  <xdr:oneCellAnchor>
    <xdr:from>
      <xdr:col>0</xdr:col>
      <xdr:colOff>352424</xdr:colOff>
      <xdr:row>0</xdr:row>
      <xdr:rowOff>102468</xdr:rowOff>
    </xdr:from>
    <xdr:ext cx="1790701" cy="645110"/>
    <xdr:pic>
      <xdr:nvPicPr>
        <xdr:cNvPr id="7" name="Picture 6" descr="Legal Disclaimers | S&amp;P Dow Jones Indices">
          <a:extLst>
            <a:ext uri="{FF2B5EF4-FFF2-40B4-BE49-F238E27FC236}">
              <a16:creationId xmlns:a16="http://schemas.microsoft.com/office/drawing/2014/main" id="{7034B313-5584-47EE-985B-7E8754E3C07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6804"/>
        <a:stretch/>
      </xdr:blipFill>
      <xdr:spPr bwMode="auto">
        <a:xfrm>
          <a:off x="352424" y="102468"/>
          <a:ext cx="1790701" cy="645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380458</xdr:colOff>
      <xdr:row>0</xdr:row>
      <xdr:rowOff>113824</xdr:rowOff>
    </xdr:from>
    <xdr:ext cx="2030558" cy="731520"/>
    <xdr:pic>
      <xdr:nvPicPr>
        <xdr:cNvPr id="5" name="Picture 4" descr="Legal Disclaimers | S&amp;P Dow Jones Indices">
          <a:extLst>
            <a:ext uri="{FF2B5EF4-FFF2-40B4-BE49-F238E27FC236}">
              <a16:creationId xmlns:a16="http://schemas.microsoft.com/office/drawing/2014/main" id="{7671FE69-68B0-4355-B391-372783AB705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0458" y="113824"/>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380458</xdr:colOff>
      <xdr:row>0</xdr:row>
      <xdr:rowOff>113824</xdr:rowOff>
    </xdr:from>
    <xdr:ext cx="2030558" cy="731520"/>
    <xdr:pic>
      <xdr:nvPicPr>
        <xdr:cNvPr id="2" name="Picture 1" descr="Legal Disclaimers | S&amp;P Dow Jones Indices">
          <a:extLst>
            <a:ext uri="{FF2B5EF4-FFF2-40B4-BE49-F238E27FC236}">
              <a16:creationId xmlns:a16="http://schemas.microsoft.com/office/drawing/2014/main" id="{BDC816BF-E761-4F0D-93FF-4BC07501643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0458" y="113824"/>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380458</xdr:colOff>
      <xdr:row>0</xdr:row>
      <xdr:rowOff>113824</xdr:rowOff>
    </xdr:from>
    <xdr:ext cx="2030558" cy="731520"/>
    <xdr:pic>
      <xdr:nvPicPr>
        <xdr:cNvPr id="2" name="Picture 1" descr="Legal Disclaimers | S&amp;P Dow Jones Indices">
          <a:extLst>
            <a:ext uri="{FF2B5EF4-FFF2-40B4-BE49-F238E27FC236}">
              <a16:creationId xmlns:a16="http://schemas.microsoft.com/office/drawing/2014/main" id="{44D205E7-0C72-4141-8CE4-58D1B0C544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0458" y="113824"/>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379120</xdr:colOff>
      <xdr:row>0</xdr:row>
      <xdr:rowOff>113111</xdr:rowOff>
    </xdr:from>
    <xdr:ext cx="2030558" cy="731520"/>
    <xdr:pic>
      <xdr:nvPicPr>
        <xdr:cNvPr id="5" name="Picture 4" descr="Legal Disclaimers | S&amp;P Dow Jones Indices">
          <a:extLst>
            <a:ext uri="{FF2B5EF4-FFF2-40B4-BE49-F238E27FC236}">
              <a16:creationId xmlns:a16="http://schemas.microsoft.com/office/drawing/2014/main" id="{722C6977-0009-4A78-9A4B-E2040B8FACD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79120" y="113111"/>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224118</xdr:colOff>
      <xdr:row>8</xdr:row>
      <xdr:rowOff>2305</xdr:rowOff>
    </xdr:from>
    <xdr:to>
      <xdr:col>10</xdr:col>
      <xdr:colOff>676837</xdr:colOff>
      <xdr:row>10</xdr:row>
      <xdr:rowOff>138991</xdr:rowOff>
    </xdr:to>
    <xdr:pic>
      <xdr:nvPicPr>
        <xdr:cNvPr id="9" name="Graphic 8" descr="Right pointing backhand index outline">
          <a:extLst>
            <a:ext uri="{FF2B5EF4-FFF2-40B4-BE49-F238E27FC236}">
              <a16:creationId xmlns:a16="http://schemas.microsoft.com/office/drawing/2014/main" id="{87D13A4E-E7A6-497A-8BFC-E65935F72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10690412" y="2770158"/>
          <a:ext cx="452719" cy="383215"/>
        </a:xfrm>
        <a:prstGeom prst="rect">
          <a:avLst/>
        </a:prstGeom>
      </xdr:spPr>
    </xdr:pic>
    <xdr:clientData/>
  </xdr:twoCellAnchor>
  <xdr:twoCellAnchor>
    <xdr:from>
      <xdr:col>0</xdr:col>
      <xdr:colOff>280147</xdr:colOff>
      <xdr:row>17</xdr:row>
      <xdr:rowOff>515471</xdr:rowOff>
    </xdr:from>
    <xdr:to>
      <xdr:col>18</xdr:col>
      <xdr:colOff>313765</xdr:colOff>
      <xdr:row>18</xdr:row>
      <xdr:rowOff>3115237</xdr:rowOff>
    </xdr:to>
    <xdr:graphicFrame macro="">
      <xdr:nvGraphicFramePr>
        <xdr:cNvPr id="2" name="Chart 1">
          <a:extLst>
            <a:ext uri="{FF2B5EF4-FFF2-40B4-BE49-F238E27FC236}">
              <a16:creationId xmlns:a16="http://schemas.microsoft.com/office/drawing/2014/main" id="{F91748E0-1BCC-4FF0-82F1-4ED4EA141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380458</xdr:colOff>
      <xdr:row>0</xdr:row>
      <xdr:rowOff>113824</xdr:rowOff>
    </xdr:from>
    <xdr:ext cx="2030558" cy="731520"/>
    <xdr:pic>
      <xdr:nvPicPr>
        <xdr:cNvPr id="2" name="Picture 1" descr="Legal Disclaimers | S&amp;P Dow Jones Indices">
          <a:extLst>
            <a:ext uri="{FF2B5EF4-FFF2-40B4-BE49-F238E27FC236}">
              <a16:creationId xmlns:a16="http://schemas.microsoft.com/office/drawing/2014/main" id="{DEEC03CD-28FE-41AD-A871-5364A29284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0458" y="113824"/>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700</xdr:colOff>
      <xdr:row>0</xdr:row>
      <xdr:rowOff>110370</xdr:rowOff>
    </xdr:from>
    <xdr:ext cx="2030556" cy="731520"/>
    <xdr:pic>
      <xdr:nvPicPr>
        <xdr:cNvPr id="2" name="Picture 1" descr="Legal Disclaimers | S&amp;P Dow Jones Indices">
          <a:extLst>
            <a:ext uri="{FF2B5EF4-FFF2-40B4-BE49-F238E27FC236}">
              <a16:creationId xmlns:a16="http://schemas.microsoft.com/office/drawing/2014/main" id="{B478B5A3-7D6F-4F57-9670-DB63090213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1700" y="110370"/>
          <a:ext cx="2030556"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113107</xdr:rowOff>
    </xdr:from>
    <xdr:ext cx="2030558" cy="731520"/>
    <xdr:pic>
      <xdr:nvPicPr>
        <xdr:cNvPr id="33" name="Picture 32" descr="Legal Disclaimers | S&amp;P Dow Jones Indices">
          <a:extLst>
            <a:ext uri="{FF2B5EF4-FFF2-40B4-BE49-F238E27FC236}">
              <a16:creationId xmlns:a16="http://schemas.microsoft.com/office/drawing/2014/main" id="{8B9958DF-787D-4730-B0B5-D351C9A1207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1000" y="52300582"/>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700</xdr:colOff>
      <xdr:row>0</xdr:row>
      <xdr:rowOff>110370</xdr:rowOff>
    </xdr:from>
    <xdr:ext cx="2030556" cy="731520"/>
    <xdr:pic>
      <xdr:nvPicPr>
        <xdr:cNvPr id="2" name="Picture 1" descr="Legal Disclaimers | S&amp;P Dow Jones Indices">
          <a:extLst>
            <a:ext uri="{FF2B5EF4-FFF2-40B4-BE49-F238E27FC236}">
              <a16:creationId xmlns:a16="http://schemas.microsoft.com/office/drawing/2014/main" id="{64D9913F-175D-4030-BE38-D9ADAA1290F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610300" y="110370"/>
          <a:ext cx="2030556"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113107</xdr:rowOff>
    </xdr:from>
    <xdr:ext cx="2030558" cy="731520"/>
    <xdr:pic>
      <xdr:nvPicPr>
        <xdr:cNvPr id="2" name="Picture 1" descr="Legal Disclaimers | S&amp;P Dow Jones Indices">
          <a:extLst>
            <a:ext uri="{FF2B5EF4-FFF2-40B4-BE49-F238E27FC236}">
              <a16:creationId xmlns:a16="http://schemas.microsoft.com/office/drawing/2014/main" id="{70343926-6AF0-4589-8A01-18BEE8EF6C1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1000" y="113107"/>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113107</xdr:rowOff>
    </xdr:from>
    <xdr:ext cx="2030558" cy="731520"/>
    <xdr:pic>
      <xdr:nvPicPr>
        <xdr:cNvPr id="2" name="Picture 1" descr="Legal Disclaimers | S&amp;P Dow Jones Indices">
          <a:extLst>
            <a:ext uri="{FF2B5EF4-FFF2-40B4-BE49-F238E27FC236}">
              <a16:creationId xmlns:a16="http://schemas.microsoft.com/office/drawing/2014/main" id="{99808CED-C415-4340-8D85-7C6C0F12813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804"/>
        <a:stretch/>
      </xdr:blipFill>
      <xdr:spPr bwMode="auto">
        <a:xfrm>
          <a:off x="381000" y="113107"/>
          <a:ext cx="2030558" cy="73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rottama_bowden\OneDrive%20-%20S&amp;P%20Global\_ESG%20Index%20Intelligence\PACT%20Report%20v2023\IMPG%20Rebalancing%20Outputs%20Files\Batch%202%20Request%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ing list - Batch 2"/>
      <sheetName val="Batch 2 request list"/>
      <sheetName val="Tracking list - 1"/>
      <sheetName val="Data aggregation"/>
      <sheetName val="List of PACT indices"/>
      <sheetName val="Index 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pglobal.com/spdji/en/documents/education/faq-spdji-approach-to-the-eu-low-carbon-benchmark-regulation-disclosure-requirements.pdf" TargetMode="External"/><Relationship Id="rId7" Type="http://schemas.openxmlformats.org/officeDocument/2006/relationships/drawing" Target="../drawings/drawing1.xml"/><Relationship Id="rId2" Type="http://schemas.openxmlformats.org/officeDocument/2006/relationships/hyperlink" Target="https://www.spglobal.com/spdji/en/documents/education/faq-spdji-eu-low-carbon-benchmark-regulation.pdf" TargetMode="External"/><Relationship Id="rId1" Type="http://schemas.openxmlformats.org/officeDocument/2006/relationships/hyperlink" Target="https://www.spglobal.com/spdji/en/documents/education/faq-spdji-approach-to-the-eu-low-carbon-benchmark-regulation-disclosure-requirements.pdf" TargetMode="External"/><Relationship Id="rId6" Type="http://schemas.openxmlformats.org/officeDocument/2006/relationships/printerSettings" Target="../printerSettings/printerSettings1.bin"/><Relationship Id="rId5" Type="http://schemas.openxmlformats.org/officeDocument/2006/relationships/hyperlink" Target="https://eur-lex.europa.eu/legal-content/EN/TXT/?uri=CELEX:32019R2089" TargetMode="External"/><Relationship Id="rId4" Type="http://schemas.openxmlformats.org/officeDocument/2006/relationships/hyperlink" Target="https://eur-lex.europa.eu/legal-content/EN/TXT/?uri=CELEX:32020R18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E4B-AFA9-4B7A-B94C-CA51A82210C4}">
  <sheetPr>
    <tabColor theme="1"/>
    <pageSetUpPr fitToPage="1"/>
  </sheetPr>
  <dimension ref="A1:AF184"/>
  <sheetViews>
    <sheetView tabSelected="1" zoomScale="60" zoomScaleNormal="60" workbookViewId="0">
      <selection activeCell="E23" sqref="E23:Q23"/>
    </sheetView>
  </sheetViews>
  <sheetFormatPr defaultColWidth="9.08984375" defaultRowHeight="14" x14ac:dyDescent="0.3"/>
  <cols>
    <col min="1" max="1" width="5.6328125" style="64" customWidth="1"/>
    <col min="2" max="4" width="5.453125" style="64" customWidth="1"/>
    <col min="5" max="5" width="8.54296875" style="64" customWidth="1"/>
    <col min="6" max="6" width="15.6328125" style="64" customWidth="1"/>
    <col min="7" max="7" width="13.36328125" style="64" customWidth="1"/>
    <col min="8" max="8" width="1.54296875" style="64" customWidth="1"/>
    <col min="9" max="9" width="22.90625" style="64" customWidth="1"/>
    <col min="10" max="10" width="2.36328125" style="64" customWidth="1"/>
    <col min="11" max="11" width="22.90625" style="64" customWidth="1"/>
    <col min="12" max="12" width="1.453125" style="64" customWidth="1"/>
    <col min="13" max="13" width="20.90625" style="64" customWidth="1"/>
    <col min="14" max="14" width="5.6328125" style="64" customWidth="1"/>
    <col min="15" max="15" width="40.90625" style="64" customWidth="1"/>
    <col min="16" max="16" width="2.90625" style="64" customWidth="1"/>
    <col min="17" max="17" width="35.54296875" style="64" customWidth="1"/>
    <col min="18" max="18" width="2.90625" style="64" customWidth="1"/>
    <col min="19" max="19" width="14.36328125" style="64" customWidth="1"/>
    <col min="20" max="20" width="2.90625" style="64" customWidth="1"/>
    <col min="21" max="21" width="11.453125" style="64" customWidth="1"/>
    <col min="22" max="22" width="2.90625" style="64" customWidth="1"/>
    <col min="23" max="24" width="16.36328125" style="64" customWidth="1"/>
    <col min="25" max="25" width="27.54296875" style="64" customWidth="1"/>
    <col min="26" max="26" width="5.6328125" style="64" customWidth="1"/>
    <col min="27" max="27" width="9.08984375" style="64"/>
    <col min="28" max="28" width="14" style="64" customWidth="1"/>
    <col min="29" max="29" width="22.6328125" style="64" customWidth="1"/>
    <col min="30" max="30" width="16.453125" style="64" customWidth="1"/>
    <col min="31" max="31" width="9.08984375" style="64"/>
    <col min="32" max="32" width="13" style="64" customWidth="1"/>
    <col min="33" max="33" width="9.08984375" style="64"/>
    <col min="34" max="34" width="11" style="64" customWidth="1"/>
    <col min="35" max="16384" width="9.08984375" style="64"/>
  </cols>
  <sheetData>
    <row r="1" spans="1:32" ht="75" customHeight="1" x14ac:dyDescent="0.3">
      <c r="A1" s="63"/>
      <c r="B1" s="63"/>
      <c r="C1" s="63"/>
      <c r="D1" s="63"/>
      <c r="E1" s="63"/>
      <c r="F1" s="63"/>
      <c r="G1" s="63"/>
      <c r="H1" s="63"/>
      <c r="I1" s="63"/>
      <c r="J1" s="63"/>
      <c r="K1" s="63"/>
      <c r="L1" s="63"/>
      <c r="M1" s="63"/>
      <c r="N1" s="63"/>
      <c r="O1" s="63"/>
      <c r="P1" s="63"/>
      <c r="Q1" s="63"/>
      <c r="R1" s="63"/>
      <c r="S1" s="63"/>
      <c r="T1" s="63"/>
      <c r="U1" s="63"/>
      <c r="V1" s="63"/>
      <c r="W1" s="63"/>
      <c r="X1" s="63"/>
      <c r="Y1" s="63"/>
      <c r="Z1" s="63"/>
    </row>
    <row r="2" spans="1:32" ht="1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32" ht="30.75" customHeight="1" x14ac:dyDescent="0.3">
      <c r="A3" s="15"/>
      <c r="B3" s="96" t="s">
        <v>649</v>
      </c>
      <c r="C3" s="34"/>
      <c r="D3" s="34"/>
      <c r="E3" s="15"/>
      <c r="F3" s="15"/>
      <c r="G3" s="15"/>
      <c r="H3" s="15"/>
      <c r="I3" s="15"/>
      <c r="J3" s="15"/>
      <c r="K3" s="15"/>
      <c r="L3" s="15"/>
      <c r="M3" s="15"/>
      <c r="N3" s="15"/>
      <c r="O3" s="15"/>
      <c r="P3" s="15"/>
      <c r="Q3" s="15"/>
      <c r="R3" s="15"/>
      <c r="S3" s="15"/>
      <c r="T3" s="15"/>
      <c r="U3" s="15"/>
      <c r="V3" s="15"/>
      <c r="W3" s="15"/>
      <c r="X3" s="15"/>
      <c r="Y3" s="264" t="s">
        <v>0</v>
      </c>
      <c r="Z3" s="15"/>
    </row>
    <row r="4" spans="1:32" ht="15" customHeight="1" x14ac:dyDescent="0.3">
      <c r="A4" s="15"/>
      <c r="B4" s="34"/>
      <c r="C4" s="34"/>
      <c r="D4" s="34"/>
      <c r="E4" s="15"/>
      <c r="F4" s="15"/>
      <c r="G4" s="15"/>
      <c r="H4" s="15"/>
      <c r="I4" s="15"/>
      <c r="J4" s="15"/>
      <c r="K4" s="15"/>
      <c r="L4" s="15"/>
      <c r="M4" s="15"/>
      <c r="N4" s="15"/>
      <c r="O4" s="15"/>
      <c r="P4" s="15"/>
      <c r="Q4" s="15"/>
      <c r="R4" s="15"/>
      <c r="S4" s="15"/>
      <c r="T4" s="15"/>
      <c r="U4" s="15"/>
      <c r="V4" s="15"/>
      <c r="W4" s="15"/>
      <c r="X4" s="15"/>
      <c r="Y4" s="15"/>
      <c r="Z4" s="15"/>
    </row>
    <row r="5" spans="1:32" ht="24" customHeight="1" x14ac:dyDescent="0.4">
      <c r="A5" s="15"/>
      <c r="B5" s="263" t="s">
        <v>1</v>
      </c>
      <c r="C5" s="14"/>
      <c r="D5" s="14"/>
      <c r="E5" s="15"/>
      <c r="F5" s="15"/>
      <c r="G5" s="15"/>
      <c r="H5" s="15"/>
      <c r="I5" s="15"/>
      <c r="J5" s="15"/>
      <c r="K5" s="15"/>
      <c r="L5" s="15"/>
      <c r="M5" s="15"/>
      <c r="N5" s="15"/>
      <c r="O5" s="15"/>
      <c r="P5" s="15"/>
      <c r="Q5" s="15"/>
      <c r="R5" s="15"/>
      <c r="S5" s="15"/>
      <c r="T5" s="15"/>
      <c r="U5" s="15"/>
      <c r="V5" s="15"/>
      <c r="W5" s="15"/>
      <c r="X5" s="15"/>
      <c r="Y5" s="15"/>
      <c r="Z5" s="15"/>
    </row>
    <row r="6" spans="1:32" ht="15" customHeight="1" x14ac:dyDescent="0.4">
      <c r="A6" s="15"/>
      <c r="B6" s="14"/>
      <c r="C6" s="14"/>
      <c r="D6" s="14"/>
      <c r="E6" s="15"/>
      <c r="F6" s="15"/>
      <c r="G6" s="15"/>
      <c r="H6" s="15"/>
      <c r="I6" s="15"/>
      <c r="J6" s="15"/>
      <c r="K6" s="15"/>
      <c r="L6" s="15"/>
      <c r="M6" s="15"/>
      <c r="N6" s="15"/>
      <c r="O6" s="15"/>
      <c r="P6" s="15"/>
      <c r="Q6" s="15"/>
      <c r="R6" s="15"/>
      <c r="S6" s="15"/>
      <c r="T6" s="15"/>
      <c r="U6" s="15"/>
      <c r="V6" s="15"/>
      <c r="W6" s="15"/>
      <c r="X6" s="15"/>
      <c r="Y6" s="15"/>
      <c r="Z6" s="15"/>
    </row>
    <row r="7" spans="1:32" ht="48.75" customHeight="1" x14ac:dyDescent="0.3">
      <c r="A7" s="15"/>
      <c r="B7" s="276" t="s">
        <v>644</v>
      </c>
      <c r="C7" s="276"/>
      <c r="D7" s="276"/>
      <c r="E7" s="276"/>
      <c r="F7" s="276"/>
      <c r="G7" s="276"/>
      <c r="H7" s="276"/>
      <c r="I7" s="276"/>
      <c r="J7" s="276"/>
      <c r="K7" s="276"/>
      <c r="L7" s="276"/>
      <c r="M7" s="276"/>
      <c r="N7" s="276"/>
      <c r="O7" s="276"/>
      <c r="P7" s="276"/>
      <c r="Q7" s="276"/>
      <c r="R7" s="276"/>
      <c r="S7" s="276"/>
      <c r="T7" s="276"/>
      <c r="U7" s="276"/>
      <c r="V7" s="276"/>
      <c r="W7" s="276"/>
      <c r="X7" s="276"/>
      <c r="Y7" s="276"/>
      <c r="Z7" s="15"/>
    </row>
    <row r="8" spans="1:32" ht="44.15" customHeight="1" x14ac:dyDescent="0.4">
      <c r="A8" s="15"/>
      <c r="B8" s="428" t="s">
        <v>661</v>
      </c>
      <c r="C8" s="92"/>
      <c r="D8" s="92"/>
      <c r="E8" s="92"/>
      <c r="F8" s="92"/>
      <c r="G8" s="92"/>
      <c r="H8" s="92"/>
      <c r="I8" s="92"/>
      <c r="J8" s="92"/>
      <c r="K8" s="92"/>
      <c r="L8" s="92"/>
      <c r="M8" s="92"/>
      <c r="N8" s="92"/>
      <c r="O8" s="92"/>
      <c r="P8" s="92"/>
      <c r="Q8" s="92"/>
      <c r="R8" s="92"/>
      <c r="S8" s="92"/>
      <c r="T8" s="92"/>
      <c r="U8" s="92"/>
      <c r="V8" s="92"/>
      <c r="W8" s="92"/>
      <c r="X8" s="92"/>
      <c r="Y8" s="92"/>
      <c r="Z8" s="15"/>
    </row>
    <row r="9" spans="1:32" ht="4.5" customHeight="1" x14ac:dyDescent="0.35">
      <c r="A9" s="15"/>
      <c r="B9" s="92"/>
      <c r="C9" s="92"/>
      <c r="D9" s="92"/>
      <c r="E9" s="92"/>
      <c r="F9" s="92"/>
      <c r="G9" s="92"/>
      <c r="H9" s="92"/>
      <c r="I9" s="92"/>
      <c r="J9" s="92"/>
      <c r="K9" s="92"/>
      <c r="L9" s="92"/>
      <c r="M9" s="92"/>
      <c r="N9" s="92"/>
      <c r="O9" s="92"/>
      <c r="P9" s="92"/>
      <c r="Q9" s="92"/>
      <c r="R9" s="92"/>
      <c r="S9" s="92"/>
      <c r="T9" s="92"/>
      <c r="U9" s="92"/>
      <c r="V9" s="92"/>
      <c r="W9" s="92"/>
      <c r="X9" s="92"/>
      <c r="Y9" s="92"/>
      <c r="Z9" s="15"/>
    </row>
    <row r="10" spans="1:32" ht="90.9" customHeight="1" x14ac:dyDescent="0.3">
      <c r="A10" s="15"/>
      <c r="B10" s="280" t="s">
        <v>662</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15"/>
    </row>
    <row r="11" spans="1:32" ht="7.5" customHeight="1" x14ac:dyDescent="0.35">
      <c r="A11" s="15"/>
      <c r="B11" s="92"/>
      <c r="C11" s="92"/>
      <c r="D11" s="92"/>
      <c r="E11" s="92"/>
      <c r="F11" s="92"/>
      <c r="G11" s="92"/>
      <c r="H11" s="92"/>
      <c r="I11" s="92"/>
      <c r="J11" s="92"/>
      <c r="K11" s="92"/>
      <c r="L11" s="92"/>
      <c r="M11" s="92"/>
      <c r="N11" s="92"/>
      <c r="O11" s="92"/>
      <c r="P11" s="92"/>
      <c r="Q11" s="92"/>
      <c r="R11" s="92"/>
      <c r="S11" s="92"/>
      <c r="T11" s="92"/>
      <c r="U11" s="92"/>
      <c r="V11" s="92"/>
      <c r="W11" s="92"/>
      <c r="X11" s="92"/>
      <c r="Y11" s="92"/>
      <c r="Z11" s="15"/>
    </row>
    <row r="12" spans="1:32" ht="14.5" x14ac:dyDescent="0.35">
      <c r="A12" s="15"/>
      <c r="B12" s="92"/>
      <c r="C12" s="92"/>
      <c r="D12" s="92"/>
      <c r="E12" s="92"/>
      <c r="F12" s="92"/>
      <c r="G12" s="92"/>
      <c r="H12" s="92"/>
      <c r="I12" s="92"/>
      <c r="J12" s="92"/>
      <c r="K12" s="92"/>
      <c r="L12" s="92"/>
      <c r="M12" s="92"/>
      <c r="N12" s="92"/>
      <c r="O12" s="92"/>
      <c r="P12" s="92"/>
      <c r="Q12" s="92"/>
      <c r="R12" s="92"/>
      <c r="S12" s="92"/>
      <c r="T12" s="92"/>
      <c r="U12" s="92"/>
      <c r="V12" s="92"/>
      <c r="W12" s="92"/>
      <c r="X12" s="92"/>
      <c r="Y12" s="92"/>
      <c r="Z12" s="15"/>
    </row>
    <row r="13" spans="1:32" ht="119.25" customHeight="1" x14ac:dyDescent="0.35">
      <c r="A13" s="15"/>
      <c r="B13" s="92"/>
      <c r="C13" s="281" t="s">
        <v>2</v>
      </c>
      <c r="D13" s="282"/>
      <c r="E13" s="282"/>
      <c r="F13" s="282"/>
      <c r="G13" s="282"/>
      <c r="H13" s="282"/>
      <c r="I13" s="282"/>
      <c r="J13" s="282"/>
      <c r="K13" s="282"/>
      <c r="L13" s="282"/>
      <c r="M13" s="282"/>
      <c r="N13" s="282"/>
      <c r="O13" s="282"/>
      <c r="P13" s="282"/>
      <c r="Q13" s="282"/>
      <c r="R13" s="282"/>
      <c r="S13" s="282"/>
      <c r="T13" s="282"/>
      <c r="U13" s="282"/>
      <c r="V13" s="282"/>
      <c r="W13" s="282"/>
      <c r="X13" s="283"/>
      <c r="Y13" s="92"/>
      <c r="Z13" s="58"/>
      <c r="AA13" s="58"/>
      <c r="AB13" s="58"/>
      <c r="AC13" s="58"/>
      <c r="AD13" s="58"/>
      <c r="AE13" s="58"/>
      <c r="AF13" s="58"/>
    </row>
    <row r="14" spans="1:32" ht="15" customHeight="1" x14ac:dyDescent="0.35">
      <c r="A14" s="15"/>
      <c r="B14" s="92"/>
      <c r="C14" s="284"/>
      <c r="D14" s="285"/>
      <c r="E14" s="285"/>
      <c r="F14" s="285"/>
      <c r="G14" s="285"/>
      <c r="H14" s="285"/>
      <c r="I14" s="285"/>
      <c r="J14" s="285"/>
      <c r="K14" s="285"/>
      <c r="L14" s="285"/>
      <c r="M14" s="285"/>
      <c r="N14" s="285"/>
      <c r="O14" s="285"/>
      <c r="P14" s="285"/>
      <c r="Q14" s="285"/>
      <c r="R14" s="285"/>
      <c r="S14" s="285"/>
      <c r="T14" s="285"/>
      <c r="U14" s="285"/>
      <c r="V14" s="285"/>
      <c r="W14" s="285"/>
      <c r="X14" s="286"/>
      <c r="Y14" s="92"/>
      <c r="Z14" s="58"/>
      <c r="AA14" s="58"/>
      <c r="AB14" s="58"/>
      <c r="AC14" s="58"/>
      <c r="AD14" s="58"/>
      <c r="AE14" s="58"/>
      <c r="AF14" s="58"/>
    </row>
    <row r="15" spans="1:32" ht="55.5" customHeight="1" x14ac:dyDescent="0.35">
      <c r="A15" s="15"/>
      <c r="B15" s="92"/>
      <c r="C15" s="287" t="s">
        <v>3</v>
      </c>
      <c r="D15" s="288"/>
      <c r="E15" s="288"/>
      <c r="F15" s="288"/>
      <c r="G15" s="288"/>
      <c r="H15" s="288"/>
      <c r="I15" s="288"/>
      <c r="J15" s="288"/>
      <c r="K15" s="288"/>
      <c r="L15" s="288"/>
      <c r="M15" s="288"/>
      <c r="N15" s="288"/>
      <c r="O15" s="288"/>
      <c r="P15" s="288"/>
      <c r="Q15" s="288"/>
      <c r="R15" s="288"/>
      <c r="S15" s="288"/>
      <c r="T15" s="288"/>
      <c r="U15" s="288"/>
      <c r="V15" s="288"/>
      <c r="W15" s="288"/>
      <c r="X15" s="289"/>
      <c r="Y15" s="92"/>
      <c r="Z15" s="58"/>
      <c r="AA15" s="58"/>
      <c r="AB15" s="58"/>
      <c r="AC15" s="58"/>
      <c r="AD15" s="58"/>
      <c r="AE15" s="58"/>
      <c r="AF15" s="58"/>
    </row>
    <row r="16" spans="1:32" ht="14.5" x14ac:dyDescent="0.35">
      <c r="A16" s="15"/>
      <c r="B16" s="92"/>
      <c r="C16" s="92"/>
      <c r="D16" s="92"/>
      <c r="E16" s="92"/>
      <c r="F16" s="92"/>
      <c r="G16" s="92"/>
      <c r="H16" s="92"/>
      <c r="I16" s="92"/>
      <c r="J16" s="92"/>
      <c r="K16" s="92"/>
      <c r="L16" s="92"/>
      <c r="M16" s="92"/>
      <c r="N16" s="92"/>
      <c r="O16" s="92"/>
      <c r="P16" s="92"/>
      <c r="Q16" s="92"/>
      <c r="R16" s="92"/>
      <c r="S16" s="92"/>
      <c r="T16" s="92"/>
      <c r="U16" s="92"/>
      <c r="V16" s="92"/>
      <c r="W16" s="92"/>
      <c r="X16" s="92"/>
      <c r="Y16" s="92"/>
      <c r="Z16" s="58"/>
      <c r="AA16" s="58"/>
      <c r="AB16" s="58"/>
      <c r="AC16" s="58"/>
      <c r="AD16" s="58"/>
      <c r="AE16" s="58"/>
      <c r="AF16" s="58"/>
    </row>
    <row r="17" spans="1:32" ht="8.25" customHeight="1" x14ac:dyDescent="0.35">
      <c r="A17" s="15"/>
      <c r="B17" s="92"/>
      <c r="C17" s="92"/>
      <c r="D17" s="92"/>
      <c r="E17" s="92"/>
      <c r="F17" s="92"/>
      <c r="G17" s="92"/>
      <c r="H17" s="92"/>
      <c r="I17" s="92"/>
      <c r="J17" s="92"/>
      <c r="K17" s="92"/>
      <c r="L17" s="92"/>
      <c r="M17" s="92"/>
      <c r="N17" s="92"/>
      <c r="O17" s="92"/>
      <c r="P17" s="92"/>
      <c r="Q17" s="92"/>
      <c r="R17" s="92"/>
      <c r="S17" s="92"/>
      <c r="T17" s="92"/>
      <c r="U17" s="92"/>
      <c r="V17" s="92"/>
      <c r="W17" s="92"/>
      <c r="X17" s="92"/>
      <c r="Y17" s="92"/>
      <c r="Z17" s="58"/>
      <c r="AA17" s="58"/>
      <c r="AB17" s="58"/>
      <c r="AC17" s="58"/>
      <c r="AD17" s="58"/>
      <c r="AE17" s="58"/>
      <c r="AF17" s="58"/>
    </row>
    <row r="18" spans="1:32" ht="15.75" customHeight="1" x14ac:dyDescent="0.35">
      <c r="A18" s="15"/>
      <c r="B18" s="92"/>
      <c r="C18" s="92"/>
      <c r="D18" s="92"/>
      <c r="E18" s="92"/>
      <c r="F18" s="92"/>
      <c r="G18" s="92"/>
      <c r="H18" s="92"/>
      <c r="I18" s="92"/>
      <c r="J18" s="92"/>
      <c r="K18" s="92"/>
      <c r="L18" s="92"/>
      <c r="M18" s="92"/>
      <c r="N18" s="92"/>
      <c r="O18" s="92"/>
      <c r="P18" s="92"/>
      <c r="Q18" s="92"/>
      <c r="R18" s="92"/>
      <c r="S18" s="92"/>
      <c r="T18" s="92"/>
      <c r="U18" s="92"/>
      <c r="V18" s="92"/>
      <c r="W18" s="92"/>
      <c r="X18" s="92"/>
      <c r="Y18" s="92"/>
      <c r="Z18" s="58"/>
      <c r="AA18" s="58"/>
      <c r="AB18" s="58"/>
      <c r="AC18" s="58"/>
      <c r="AD18" s="58"/>
      <c r="AE18" s="58"/>
      <c r="AF18" s="58"/>
    </row>
    <row r="19" spans="1:32" ht="26.25" customHeight="1" x14ac:dyDescent="0.35">
      <c r="A19" s="15"/>
      <c r="B19" s="279" t="s">
        <v>4</v>
      </c>
      <c r="C19" s="279"/>
      <c r="D19" s="279"/>
      <c r="E19" s="279"/>
      <c r="F19" s="279"/>
      <c r="G19" s="279"/>
      <c r="H19" s="279"/>
      <c r="I19" s="279"/>
      <c r="J19" s="279"/>
      <c r="K19" s="279"/>
      <c r="L19" s="279"/>
      <c r="M19" s="279"/>
      <c r="N19" s="279"/>
      <c r="O19" s="279"/>
      <c r="P19" s="92"/>
      <c r="Q19" s="92"/>
      <c r="R19" s="92"/>
      <c r="S19" s="92"/>
      <c r="T19" s="92"/>
      <c r="U19" s="92"/>
      <c r="V19" s="92"/>
      <c r="W19" s="92"/>
      <c r="X19" s="92"/>
      <c r="Y19" s="92"/>
      <c r="Z19" s="58"/>
      <c r="AA19" s="58"/>
      <c r="AB19" s="58"/>
      <c r="AC19" s="58"/>
      <c r="AD19" s="58"/>
      <c r="AE19" s="58"/>
      <c r="AF19" s="58"/>
    </row>
    <row r="20" spans="1:32" ht="16.5" customHeight="1" x14ac:dyDescent="0.35">
      <c r="A20" s="15"/>
      <c r="B20" s="228"/>
      <c r="C20" s="228"/>
      <c r="D20" s="228"/>
      <c r="E20" s="228"/>
      <c r="F20" s="228"/>
      <c r="G20" s="228"/>
      <c r="H20" s="228"/>
      <c r="I20" s="228"/>
      <c r="J20" s="228"/>
      <c r="K20" s="228"/>
      <c r="L20" s="228"/>
      <c r="M20" s="228"/>
      <c r="N20" s="228"/>
      <c r="O20" s="228"/>
      <c r="P20" s="92"/>
      <c r="Q20" s="92"/>
      <c r="R20" s="92"/>
      <c r="S20" s="92"/>
      <c r="T20" s="92"/>
      <c r="U20" s="92"/>
      <c r="V20" s="92"/>
      <c r="W20" s="92"/>
      <c r="X20" s="92"/>
      <c r="Y20" s="92"/>
      <c r="Z20" s="58"/>
      <c r="AA20" s="58"/>
      <c r="AB20" s="58"/>
      <c r="AC20" s="58"/>
      <c r="AD20" s="58"/>
      <c r="AE20" s="58"/>
      <c r="AF20" s="58"/>
    </row>
    <row r="21" spans="1:32" ht="38.25" customHeight="1" x14ac:dyDescent="0.35">
      <c r="A21" s="15"/>
      <c r="B21" s="66"/>
      <c r="C21" s="66"/>
      <c r="D21" s="66"/>
      <c r="E21" s="277" t="s">
        <v>5</v>
      </c>
      <c r="F21" s="277"/>
      <c r="G21" s="277"/>
      <c r="H21" s="277"/>
      <c r="I21" s="277"/>
      <c r="J21" s="277"/>
      <c r="K21" s="277"/>
      <c r="L21" s="277"/>
      <c r="M21" s="277"/>
      <c r="N21" s="277"/>
      <c r="O21" s="277"/>
      <c r="P21" s="277"/>
      <c r="Q21" s="277"/>
      <c r="R21" s="92"/>
      <c r="S21" s="92"/>
      <c r="T21" s="92"/>
      <c r="U21" s="92"/>
      <c r="V21" s="92"/>
      <c r="W21" s="92"/>
      <c r="X21" s="92"/>
      <c r="Y21" s="92"/>
      <c r="Z21" s="58"/>
      <c r="AA21" s="58"/>
      <c r="AB21" s="58"/>
      <c r="AC21" s="58"/>
      <c r="AD21" s="58"/>
      <c r="AE21" s="58"/>
      <c r="AF21" s="58"/>
    </row>
    <row r="22" spans="1:32" s="67" customFormat="1" ht="15.5" x14ac:dyDescent="0.35">
      <c r="A22" s="65"/>
      <c r="B22" s="279"/>
      <c r="C22" s="279"/>
      <c r="D22" s="279"/>
      <c r="E22" s="279"/>
      <c r="F22" s="279"/>
      <c r="G22" s="279"/>
      <c r="H22" s="279"/>
      <c r="I22" s="279"/>
      <c r="J22" s="279"/>
      <c r="K22" s="279"/>
      <c r="L22" s="279"/>
      <c r="M22" s="279"/>
      <c r="N22" s="92"/>
      <c r="O22" s="92"/>
      <c r="P22" s="92"/>
      <c r="Q22" s="92"/>
      <c r="R22" s="92"/>
      <c r="S22" s="92"/>
      <c r="T22" s="92"/>
      <c r="U22" s="92"/>
      <c r="V22" s="92"/>
      <c r="W22" s="92"/>
      <c r="X22" s="92"/>
      <c r="Y22" s="92"/>
      <c r="Z22" s="65"/>
    </row>
    <row r="23" spans="1:32" ht="38.25" customHeight="1" x14ac:dyDescent="0.35">
      <c r="A23" s="15"/>
      <c r="B23" s="68"/>
      <c r="C23" s="68"/>
      <c r="D23" s="68"/>
      <c r="E23" s="278" t="s">
        <v>6</v>
      </c>
      <c r="F23" s="278"/>
      <c r="G23" s="278"/>
      <c r="H23" s="278"/>
      <c r="I23" s="278"/>
      <c r="J23" s="278"/>
      <c r="K23" s="278"/>
      <c r="L23" s="278"/>
      <c r="M23" s="278"/>
      <c r="N23" s="278"/>
      <c r="O23" s="278"/>
      <c r="P23" s="278"/>
      <c r="Q23" s="278"/>
      <c r="R23" s="92"/>
      <c r="S23" s="92"/>
      <c r="T23" s="92"/>
      <c r="U23" s="92"/>
      <c r="V23" s="92"/>
      <c r="W23" s="92"/>
      <c r="X23" s="92"/>
      <c r="Y23" s="92"/>
      <c r="Z23" s="15"/>
    </row>
    <row r="24" spans="1:32" ht="38.25" customHeight="1" x14ac:dyDescent="0.35">
      <c r="A24" s="15"/>
      <c r="B24" s="92"/>
      <c r="C24" s="92"/>
      <c r="D24" s="92"/>
      <c r="E24" s="92"/>
      <c r="F24" s="92"/>
      <c r="G24" s="92"/>
      <c r="H24" s="92"/>
      <c r="I24" s="92"/>
      <c r="J24" s="92"/>
      <c r="K24" s="92"/>
      <c r="L24" s="92"/>
      <c r="M24" s="92"/>
      <c r="N24" s="92"/>
      <c r="O24" s="92"/>
      <c r="P24" s="92"/>
      <c r="Q24" s="92"/>
      <c r="R24" s="92"/>
      <c r="S24" s="92"/>
      <c r="T24" s="92"/>
      <c r="U24" s="92"/>
      <c r="V24" s="92"/>
      <c r="W24" s="92"/>
      <c r="X24" s="92"/>
      <c r="Y24" s="92"/>
      <c r="Z24" s="15"/>
    </row>
    <row r="25" spans="1:32" ht="7.5" customHeight="1" x14ac:dyDescent="0.35">
      <c r="A25" s="15"/>
      <c r="B25" s="92"/>
      <c r="C25" s="92"/>
      <c r="D25" s="92"/>
      <c r="E25" s="92"/>
      <c r="F25" s="92"/>
      <c r="G25" s="92"/>
      <c r="H25" s="92"/>
      <c r="I25" s="92"/>
      <c r="J25" s="92"/>
      <c r="K25" s="92"/>
      <c r="L25" s="92"/>
      <c r="M25" s="92"/>
      <c r="N25" s="92"/>
      <c r="O25" s="92"/>
      <c r="P25" s="92"/>
      <c r="Q25" s="92"/>
      <c r="R25" s="92"/>
      <c r="S25" s="92"/>
      <c r="T25" s="92"/>
      <c r="U25" s="92"/>
      <c r="V25" s="92"/>
      <c r="W25" s="92"/>
      <c r="X25" s="92"/>
      <c r="Y25" s="92"/>
      <c r="Z25" s="15"/>
    </row>
    <row r="26" spans="1:32" ht="28.5" customHeight="1" x14ac:dyDescent="0.35">
      <c r="A26" s="15"/>
      <c r="B26" s="92"/>
      <c r="C26" s="92"/>
      <c r="D26" s="92"/>
      <c r="E26" s="92"/>
      <c r="F26" s="92"/>
      <c r="G26" s="92"/>
      <c r="H26" s="92"/>
      <c r="I26" s="92"/>
      <c r="J26" s="92"/>
      <c r="K26" s="92"/>
      <c r="L26" s="92"/>
      <c r="M26" s="92"/>
      <c r="N26" s="92"/>
      <c r="O26" s="92"/>
      <c r="P26" s="92"/>
      <c r="Q26" s="92"/>
      <c r="R26" s="92"/>
      <c r="S26" s="92"/>
      <c r="T26" s="92"/>
      <c r="U26" s="92"/>
      <c r="V26" s="92"/>
      <c r="W26" s="92"/>
      <c r="X26" s="92"/>
      <c r="Y26" s="92"/>
      <c r="Z26" s="15"/>
    </row>
    <row r="27" spans="1:32" ht="7.5" customHeight="1" x14ac:dyDescent="0.35">
      <c r="A27" s="15"/>
      <c r="B27" s="92"/>
      <c r="C27" s="92"/>
      <c r="D27" s="92"/>
      <c r="E27" s="92"/>
      <c r="F27" s="92"/>
      <c r="G27" s="92"/>
      <c r="H27" s="92"/>
      <c r="I27" s="92"/>
      <c r="J27" s="92"/>
      <c r="K27" s="92"/>
      <c r="L27" s="92"/>
      <c r="M27" s="92"/>
      <c r="N27" s="92"/>
      <c r="O27" s="92"/>
      <c r="P27" s="92"/>
      <c r="Q27" s="92"/>
      <c r="R27" s="92"/>
      <c r="S27" s="92"/>
      <c r="T27" s="92"/>
      <c r="U27" s="92"/>
      <c r="V27" s="92"/>
      <c r="W27" s="92"/>
      <c r="X27" s="92"/>
      <c r="Y27" s="92"/>
      <c r="Z27" s="15"/>
    </row>
    <row r="28" spans="1:32" ht="14.25" customHeight="1" x14ac:dyDescent="0.35">
      <c r="A28" s="15"/>
      <c r="B28" s="92"/>
      <c r="C28" s="92"/>
      <c r="D28" s="92"/>
      <c r="E28" s="92"/>
      <c r="F28" s="92"/>
      <c r="G28" s="92"/>
      <c r="H28" s="92"/>
      <c r="I28" s="92"/>
      <c r="J28" s="92"/>
      <c r="K28" s="92"/>
      <c r="L28" s="92"/>
      <c r="M28" s="92"/>
      <c r="N28" s="92"/>
      <c r="O28" s="92"/>
      <c r="P28" s="92"/>
      <c r="Q28" s="92"/>
      <c r="R28" s="92"/>
      <c r="S28" s="92"/>
      <c r="T28" s="92"/>
      <c r="U28" s="92"/>
      <c r="V28" s="92"/>
      <c r="W28" s="92"/>
      <c r="X28" s="92"/>
      <c r="Y28" s="92"/>
      <c r="Z28" s="15"/>
    </row>
    <row r="29" spans="1:32" ht="14.25" customHeight="1" x14ac:dyDescent="0.35">
      <c r="A29" s="15"/>
      <c r="B29" s="92"/>
      <c r="C29" s="92"/>
      <c r="D29" s="92"/>
      <c r="E29" s="92"/>
      <c r="F29" s="92"/>
      <c r="G29" s="92"/>
      <c r="H29" s="92"/>
      <c r="I29" s="92"/>
      <c r="J29" s="92"/>
      <c r="K29" s="92"/>
      <c r="L29" s="92"/>
      <c r="M29" s="92"/>
      <c r="N29" s="92"/>
      <c r="O29" s="92"/>
      <c r="P29" s="92"/>
      <c r="Q29" s="92"/>
      <c r="R29" s="92"/>
      <c r="S29" s="92"/>
      <c r="T29" s="92"/>
      <c r="U29" s="92"/>
      <c r="V29" s="92"/>
      <c r="W29" s="92"/>
      <c r="X29" s="92"/>
      <c r="Y29" s="92"/>
      <c r="Z29" s="15"/>
    </row>
    <row r="30" spans="1:32" ht="17.25" customHeight="1" x14ac:dyDescent="0.35">
      <c r="A30" s="15"/>
      <c r="B30" s="92"/>
      <c r="C30" s="92"/>
      <c r="D30" s="92"/>
      <c r="E30" s="92"/>
      <c r="F30" s="92"/>
      <c r="G30" s="92"/>
      <c r="H30" s="92"/>
      <c r="I30" s="92"/>
      <c r="J30" s="92"/>
      <c r="K30" s="92"/>
      <c r="L30" s="92"/>
      <c r="M30" s="92"/>
      <c r="N30" s="92"/>
      <c r="O30" s="92"/>
      <c r="P30" s="92"/>
      <c r="Q30" s="92"/>
      <c r="R30" s="92"/>
      <c r="S30" s="92"/>
      <c r="T30" s="92"/>
      <c r="U30" s="92"/>
      <c r="V30" s="92"/>
      <c r="W30" s="92"/>
      <c r="X30" s="92"/>
      <c r="Y30" s="92"/>
      <c r="Z30" s="15"/>
    </row>
    <row r="31" spans="1:32" ht="7.5" customHeight="1" x14ac:dyDescent="0.35">
      <c r="A31" s="15"/>
      <c r="B31" s="92"/>
      <c r="C31" s="92"/>
      <c r="D31" s="92"/>
      <c r="E31" s="92"/>
      <c r="F31" s="92"/>
      <c r="G31" s="92"/>
      <c r="H31" s="92"/>
      <c r="I31" s="92"/>
      <c r="J31" s="92"/>
      <c r="K31" s="92"/>
      <c r="L31" s="92"/>
      <c r="M31" s="92"/>
      <c r="N31" s="92"/>
      <c r="O31" s="92"/>
      <c r="P31" s="92"/>
      <c r="Q31" s="92"/>
      <c r="R31" s="92"/>
      <c r="S31" s="92"/>
      <c r="T31" s="92"/>
      <c r="U31" s="92"/>
      <c r="V31" s="92"/>
      <c r="W31" s="92"/>
      <c r="X31" s="92"/>
      <c r="Y31" s="92"/>
      <c r="Z31" s="15"/>
    </row>
    <row r="32" spans="1:32" ht="27" customHeight="1" x14ac:dyDescent="0.35">
      <c r="A32" s="15"/>
      <c r="B32" s="92"/>
      <c r="C32" s="92"/>
      <c r="D32" s="92"/>
      <c r="E32" s="92"/>
      <c r="F32" s="92"/>
      <c r="G32" s="92"/>
      <c r="H32" s="92"/>
      <c r="I32" s="92"/>
      <c r="J32" s="92"/>
      <c r="K32" s="92"/>
      <c r="L32" s="92"/>
      <c r="M32" s="92"/>
      <c r="N32" s="92"/>
      <c r="O32" s="92"/>
      <c r="P32" s="92"/>
      <c r="Q32" s="92"/>
      <c r="R32" s="92"/>
      <c r="S32" s="92"/>
      <c r="T32" s="92"/>
      <c r="U32" s="92"/>
      <c r="V32" s="92"/>
      <c r="W32" s="92"/>
      <c r="X32" s="92"/>
      <c r="Y32" s="92"/>
      <c r="Z32" s="15"/>
    </row>
    <row r="33" spans="1:26" ht="7.5" customHeight="1" x14ac:dyDescent="0.35">
      <c r="A33" s="15"/>
      <c r="B33" s="92"/>
      <c r="C33" s="92"/>
      <c r="D33" s="92"/>
      <c r="E33" s="92"/>
      <c r="F33" s="92"/>
      <c r="G33" s="92"/>
      <c r="H33" s="92"/>
      <c r="I33" s="92"/>
      <c r="J33" s="92"/>
      <c r="K33" s="92"/>
      <c r="L33" s="92"/>
      <c r="M33" s="92"/>
      <c r="N33" s="92"/>
      <c r="O33" s="92"/>
      <c r="P33" s="92"/>
      <c r="Q33" s="92"/>
      <c r="R33" s="92"/>
      <c r="S33" s="92"/>
      <c r="T33" s="92"/>
      <c r="U33" s="92"/>
      <c r="V33" s="92"/>
      <c r="W33" s="92"/>
      <c r="X33" s="92"/>
      <c r="Y33" s="92"/>
      <c r="Z33" s="15"/>
    </row>
    <row r="34" spans="1:26" s="70" customFormat="1" ht="45" customHeight="1" x14ac:dyDescent="0.35">
      <c r="A34" s="69"/>
      <c r="B34" s="92"/>
      <c r="C34" s="92"/>
      <c r="D34" s="92"/>
      <c r="E34" s="92"/>
      <c r="F34" s="92"/>
      <c r="G34" s="92"/>
      <c r="H34" s="92"/>
      <c r="I34" s="92"/>
      <c r="J34" s="92"/>
      <c r="K34" s="92"/>
      <c r="L34" s="92"/>
      <c r="M34" s="92"/>
      <c r="N34" s="92"/>
      <c r="O34" s="92"/>
      <c r="P34" s="92"/>
      <c r="Q34" s="92"/>
      <c r="R34" s="92"/>
      <c r="S34" s="92"/>
      <c r="T34" s="92"/>
      <c r="U34" s="92"/>
      <c r="V34" s="92"/>
      <c r="W34" s="92"/>
      <c r="X34" s="92"/>
      <c r="Y34" s="92"/>
      <c r="Z34" s="69"/>
    </row>
    <row r="35" spans="1:26" s="70" customFormat="1" ht="6" customHeight="1" x14ac:dyDescent="0.35">
      <c r="A35" s="69"/>
      <c r="B35" s="92"/>
      <c r="C35" s="92"/>
      <c r="D35" s="92"/>
      <c r="E35" s="92"/>
      <c r="F35" s="92"/>
      <c r="G35" s="92"/>
      <c r="H35" s="92"/>
      <c r="I35" s="92"/>
      <c r="J35" s="92"/>
      <c r="K35" s="92"/>
      <c r="L35" s="92"/>
      <c r="M35" s="92"/>
      <c r="N35" s="92"/>
      <c r="O35" s="92"/>
      <c r="P35" s="92"/>
      <c r="Q35" s="92"/>
      <c r="R35" s="92"/>
      <c r="S35" s="92"/>
      <c r="T35" s="92"/>
      <c r="U35" s="92"/>
      <c r="V35" s="92"/>
      <c r="W35" s="92"/>
      <c r="X35" s="92"/>
      <c r="Y35" s="92"/>
      <c r="Z35" s="69"/>
    </row>
    <row r="36" spans="1:26" s="70" customFormat="1" ht="17.25" customHeight="1" x14ac:dyDescent="0.35">
      <c r="A36" s="69"/>
      <c r="B36" s="92"/>
      <c r="C36" s="92"/>
      <c r="D36" s="92"/>
      <c r="E36" s="92"/>
      <c r="F36" s="92"/>
      <c r="G36" s="92"/>
      <c r="H36" s="92"/>
      <c r="I36" s="92"/>
      <c r="J36" s="92"/>
      <c r="K36" s="92"/>
      <c r="L36" s="92"/>
      <c r="M36" s="92"/>
      <c r="N36" s="92"/>
      <c r="O36" s="92"/>
      <c r="P36" s="92"/>
      <c r="Q36" s="92"/>
      <c r="R36" s="92"/>
      <c r="S36" s="92"/>
      <c r="T36" s="92"/>
      <c r="U36" s="92"/>
      <c r="V36" s="92"/>
      <c r="W36" s="92"/>
      <c r="X36" s="92"/>
      <c r="Y36" s="92"/>
      <c r="Z36" s="69"/>
    </row>
    <row r="37" spans="1:26" s="70" customFormat="1" ht="16.5" customHeight="1" x14ac:dyDescent="0.35">
      <c r="A37" s="69"/>
      <c r="B37" s="92"/>
      <c r="C37" s="92"/>
      <c r="D37" s="92"/>
      <c r="E37" s="92"/>
      <c r="F37" s="92"/>
      <c r="G37" s="92"/>
      <c r="H37" s="92"/>
      <c r="I37" s="92"/>
      <c r="J37" s="92"/>
      <c r="K37" s="92"/>
      <c r="L37" s="92"/>
      <c r="M37" s="92"/>
      <c r="N37" s="92"/>
      <c r="O37" s="92"/>
      <c r="P37" s="92"/>
      <c r="Q37" s="92"/>
      <c r="R37" s="92"/>
      <c r="S37" s="92"/>
      <c r="T37" s="92"/>
      <c r="U37" s="92"/>
      <c r="V37" s="92"/>
      <c r="W37" s="92"/>
      <c r="X37" s="92"/>
      <c r="Y37" s="92"/>
      <c r="Z37" s="69"/>
    </row>
    <row r="38" spans="1:26" s="70" customFormat="1" ht="6.75" customHeight="1" x14ac:dyDescent="0.35">
      <c r="A38" s="69"/>
      <c r="B38" s="92"/>
      <c r="C38" s="92"/>
      <c r="D38" s="92"/>
      <c r="E38" s="92"/>
      <c r="F38" s="92"/>
      <c r="G38" s="92"/>
      <c r="H38" s="92"/>
      <c r="I38" s="92"/>
      <c r="J38" s="92"/>
      <c r="K38" s="92"/>
      <c r="L38" s="92"/>
      <c r="M38" s="92"/>
      <c r="N38" s="92"/>
      <c r="O38" s="92"/>
      <c r="P38" s="92"/>
      <c r="Q38" s="92"/>
      <c r="R38" s="92"/>
      <c r="S38" s="92"/>
      <c r="T38" s="92"/>
      <c r="U38" s="92"/>
      <c r="V38" s="92"/>
      <c r="W38" s="92"/>
      <c r="X38" s="92"/>
      <c r="Y38" s="92"/>
      <c r="Z38" s="69"/>
    </row>
    <row r="39" spans="1:26" s="70" customFormat="1" ht="15" customHeight="1" x14ac:dyDescent="0.35">
      <c r="A39" s="69"/>
      <c r="B39" s="92"/>
      <c r="C39" s="92"/>
      <c r="D39" s="92"/>
      <c r="E39" s="92"/>
      <c r="F39" s="92"/>
      <c r="G39" s="92"/>
      <c r="H39" s="92"/>
      <c r="I39" s="92"/>
      <c r="J39" s="92"/>
      <c r="K39" s="92"/>
      <c r="L39" s="92"/>
      <c r="M39" s="92"/>
      <c r="N39" s="92"/>
      <c r="O39" s="92"/>
      <c r="P39" s="92"/>
      <c r="Q39" s="92"/>
      <c r="R39" s="92"/>
      <c r="S39" s="92"/>
      <c r="T39" s="92"/>
      <c r="U39" s="92"/>
      <c r="V39" s="92"/>
      <c r="W39" s="92"/>
      <c r="X39" s="92"/>
      <c r="Y39" s="92"/>
      <c r="Z39" s="69"/>
    </row>
    <row r="40" spans="1:26" s="70" customFormat="1" ht="15" customHeight="1" x14ac:dyDescent="0.35">
      <c r="A40" s="69"/>
      <c r="B40" s="92"/>
      <c r="C40" s="92"/>
      <c r="D40" s="92"/>
      <c r="E40" s="92"/>
      <c r="F40" s="92"/>
      <c r="G40" s="92"/>
      <c r="H40" s="92"/>
      <c r="I40" s="92"/>
      <c r="J40" s="92"/>
      <c r="K40" s="92"/>
      <c r="L40" s="92"/>
      <c r="M40" s="92"/>
      <c r="N40" s="92"/>
      <c r="O40" s="92"/>
      <c r="P40" s="92"/>
      <c r="Q40" s="92"/>
      <c r="R40" s="92"/>
      <c r="S40" s="92"/>
      <c r="T40" s="92"/>
      <c r="U40" s="92"/>
      <c r="V40" s="92"/>
      <c r="W40" s="92"/>
      <c r="X40" s="92"/>
      <c r="Y40" s="92"/>
      <c r="Z40" s="69"/>
    </row>
    <row r="41" spans="1:26" s="70" customFormat="1" ht="18" customHeight="1" x14ac:dyDescent="0.35">
      <c r="A41" s="69"/>
      <c r="B41" s="92"/>
      <c r="C41" s="92"/>
      <c r="D41" s="92"/>
      <c r="E41" s="92"/>
      <c r="F41" s="92"/>
      <c r="G41" s="92"/>
      <c r="H41" s="92"/>
      <c r="I41" s="92"/>
      <c r="J41" s="92"/>
      <c r="K41" s="92"/>
      <c r="L41" s="92"/>
      <c r="M41" s="92"/>
      <c r="N41" s="92"/>
      <c r="O41" s="92"/>
      <c r="P41" s="92"/>
      <c r="Q41" s="92"/>
      <c r="R41" s="92"/>
      <c r="S41" s="92"/>
      <c r="T41" s="92"/>
      <c r="U41" s="92"/>
      <c r="V41" s="92"/>
      <c r="W41" s="92"/>
      <c r="X41" s="92"/>
      <c r="Y41" s="92"/>
      <c r="Z41" s="69"/>
    </row>
    <row r="42" spans="1:26" s="70" customFormat="1" ht="12" customHeight="1" x14ac:dyDescent="0.35">
      <c r="A42" s="69"/>
      <c r="B42" s="92"/>
      <c r="C42" s="92"/>
      <c r="D42" s="92"/>
      <c r="E42" s="92"/>
      <c r="F42" s="92"/>
      <c r="G42" s="92"/>
      <c r="H42" s="92"/>
      <c r="I42" s="92"/>
      <c r="J42" s="92"/>
      <c r="K42" s="92"/>
      <c r="L42" s="92"/>
      <c r="M42" s="92"/>
      <c r="N42" s="92"/>
      <c r="O42" s="92"/>
      <c r="P42" s="92"/>
      <c r="Q42" s="92"/>
      <c r="R42" s="92"/>
      <c r="S42" s="92"/>
      <c r="T42" s="92"/>
      <c r="U42" s="92"/>
      <c r="V42" s="92"/>
      <c r="W42" s="92"/>
      <c r="X42" s="92"/>
      <c r="Y42" s="92"/>
      <c r="Z42" s="69"/>
    </row>
    <row r="43" spans="1:26" s="70" customFormat="1" ht="12" customHeight="1" x14ac:dyDescent="0.35">
      <c r="A43" s="69"/>
      <c r="B43" s="92"/>
      <c r="C43" s="92"/>
      <c r="D43" s="92"/>
      <c r="E43" s="92"/>
      <c r="F43" s="92"/>
      <c r="G43" s="92"/>
      <c r="H43" s="92"/>
      <c r="I43" s="92"/>
      <c r="J43" s="92"/>
      <c r="K43" s="92"/>
      <c r="L43" s="92"/>
      <c r="M43" s="92"/>
      <c r="N43" s="92"/>
      <c r="O43" s="92"/>
      <c r="P43" s="92"/>
      <c r="Q43" s="92"/>
      <c r="R43" s="92"/>
      <c r="S43" s="92"/>
      <c r="T43" s="92"/>
      <c r="U43" s="92"/>
      <c r="V43" s="92"/>
      <c r="W43" s="92"/>
      <c r="X43" s="92"/>
      <c r="Y43" s="92"/>
      <c r="Z43" s="69"/>
    </row>
    <row r="44" spans="1:26" s="70" customFormat="1" ht="12" customHeight="1" x14ac:dyDescent="0.35">
      <c r="A44" s="69"/>
      <c r="B44" s="92"/>
      <c r="C44" s="92"/>
      <c r="D44" s="92"/>
      <c r="E44" s="92"/>
      <c r="F44" s="92"/>
      <c r="G44" s="92"/>
      <c r="H44" s="92"/>
      <c r="I44" s="92"/>
      <c r="J44" s="92"/>
      <c r="K44" s="92"/>
      <c r="L44" s="92"/>
      <c r="M44" s="92"/>
      <c r="N44" s="92"/>
      <c r="O44" s="92"/>
      <c r="P44" s="92"/>
      <c r="Q44" s="92"/>
      <c r="R44" s="92"/>
      <c r="S44" s="92"/>
      <c r="T44" s="92"/>
      <c r="U44" s="92"/>
      <c r="V44" s="92"/>
      <c r="W44" s="92"/>
      <c r="X44" s="92"/>
      <c r="Y44" s="92"/>
      <c r="Z44" s="69"/>
    </row>
    <row r="45" spans="1:26" s="70" customFormat="1" ht="12" customHeight="1" x14ac:dyDescent="0.35">
      <c r="A45" s="69"/>
      <c r="B45" s="92"/>
      <c r="C45" s="92"/>
      <c r="D45" s="92"/>
      <c r="E45" s="92"/>
      <c r="F45" s="92"/>
      <c r="G45" s="92"/>
      <c r="H45" s="92"/>
      <c r="I45" s="92"/>
      <c r="J45" s="92"/>
      <c r="K45" s="92"/>
      <c r="L45" s="92"/>
      <c r="M45" s="92"/>
      <c r="N45" s="92"/>
      <c r="O45" s="92"/>
      <c r="P45" s="92"/>
      <c r="Q45" s="92"/>
      <c r="R45" s="92"/>
      <c r="S45" s="92"/>
      <c r="T45" s="92"/>
      <c r="U45" s="92"/>
      <c r="V45" s="92"/>
      <c r="W45" s="92"/>
      <c r="X45" s="92"/>
      <c r="Y45" s="92"/>
      <c r="Z45" s="69"/>
    </row>
    <row r="46" spans="1:26" s="70" customFormat="1" ht="12" customHeight="1" x14ac:dyDescent="0.35">
      <c r="A46" s="69"/>
      <c r="B46" s="92"/>
      <c r="C46" s="92"/>
      <c r="D46" s="92"/>
      <c r="E46" s="92"/>
      <c r="F46" s="92"/>
      <c r="G46" s="92"/>
      <c r="H46" s="92"/>
      <c r="I46" s="92"/>
      <c r="J46" s="92"/>
      <c r="K46" s="92"/>
      <c r="L46" s="92"/>
      <c r="M46" s="92"/>
      <c r="N46" s="92"/>
      <c r="O46" s="92"/>
      <c r="P46" s="92"/>
      <c r="Q46" s="92"/>
      <c r="R46" s="92"/>
      <c r="S46" s="92"/>
      <c r="T46" s="92"/>
      <c r="U46" s="92"/>
      <c r="V46" s="92"/>
      <c r="W46" s="92"/>
      <c r="X46" s="92"/>
      <c r="Y46" s="92"/>
      <c r="Z46" s="69"/>
    </row>
    <row r="47" spans="1:26" s="70" customFormat="1" ht="12" customHeight="1" x14ac:dyDescent="0.35">
      <c r="A47" s="69"/>
      <c r="B47" s="92"/>
      <c r="C47" s="92"/>
      <c r="D47" s="92"/>
      <c r="E47" s="92"/>
      <c r="F47" s="92"/>
      <c r="G47" s="92"/>
      <c r="H47" s="92"/>
      <c r="I47" s="92"/>
      <c r="J47" s="92"/>
      <c r="K47" s="92"/>
      <c r="L47" s="92"/>
      <c r="M47" s="92"/>
      <c r="N47" s="92"/>
      <c r="O47" s="92"/>
      <c r="P47" s="92"/>
      <c r="Q47" s="92"/>
      <c r="R47" s="92"/>
      <c r="S47" s="92"/>
      <c r="T47" s="92"/>
      <c r="U47" s="92"/>
      <c r="V47" s="92"/>
      <c r="W47" s="92"/>
      <c r="X47" s="92"/>
      <c r="Y47" s="92"/>
      <c r="Z47" s="69"/>
    </row>
    <row r="48" spans="1:26" s="70" customFormat="1" ht="12" customHeight="1" x14ac:dyDescent="0.35">
      <c r="A48" s="69"/>
      <c r="B48" s="92"/>
      <c r="C48" s="92"/>
      <c r="D48" s="92"/>
      <c r="E48" s="92"/>
      <c r="F48" s="92"/>
      <c r="G48" s="92"/>
      <c r="H48" s="92"/>
      <c r="I48" s="92"/>
      <c r="J48" s="92"/>
      <c r="K48" s="92"/>
      <c r="L48" s="92"/>
      <c r="M48" s="92"/>
      <c r="N48" s="92"/>
      <c r="O48" s="92"/>
      <c r="P48" s="92"/>
      <c r="Q48" s="92"/>
      <c r="R48" s="92"/>
      <c r="S48" s="92"/>
      <c r="T48" s="92"/>
      <c r="U48" s="92"/>
      <c r="V48" s="92"/>
      <c r="W48" s="92"/>
      <c r="X48" s="92"/>
      <c r="Y48" s="92"/>
      <c r="Z48" s="69"/>
    </row>
    <row r="49" spans="1:27" s="70" customFormat="1" ht="12" customHeight="1" x14ac:dyDescent="0.35">
      <c r="A49" s="69"/>
      <c r="B49" s="92"/>
      <c r="C49" s="92"/>
      <c r="D49" s="92"/>
      <c r="E49" s="92"/>
      <c r="F49" s="92"/>
      <c r="G49" s="92"/>
      <c r="H49" s="92"/>
      <c r="I49" s="92"/>
      <c r="J49" s="92"/>
      <c r="K49" s="92"/>
      <c r="L49" s="92"/>
      <c r="M49" s="92"/>
      <c r="N49" s="92"/>
      <c r="O49" s="92"/>
      <c r="P49" s="92"/>
      <c r="Q49" s="92"/>
      <c r="R49" s="92"/>
      <c r="S49" s="92"/>
      <c r="T49" s="92"/>
      <c r="U49" s="92"/>
      <c r="V49" s="92"/>
      <c r="W49" s="92"/>
      <c r="X49" s="92"/>
      <c r="Y49" s="92"/>
      <c r="Z49" s="69"/>
    </row>
    <row r="50" spans="1:27" s="70" customFormat="1" ht="12" customHeight="1" x14ac:dyDescent="0.35">
      <c r="A50" s="69"/>
      <c r="B50" s="92"/>
      <c r="C50" s="92"/>
      <c r="D50" s="92"/>
      <c r="E50" s="92"/>
      <c r="F50" s="92"/>
      <c r="G50" s="92"/>
      <c r="H50" s="92"/>
      <c r="I50" s="92"/>
      <c r="J50" s="92"/>
      <c r="K50" s="92"/>
      <c r="L50" s="92"/>
      <c r="M50" s="92"/>
      <c r="N50" s="92"/>
      <c r="O50" s="92"/>
      <c r="P50" s="92"/>
      <c r="Q50" s="92"/>
      <c r="R50" s="92"/>
      <c r="S50" s="92"/>
      <c r="T50" s="92"/>
      <c r="U50" s="92"/>
      <c r="V50" s="92"/>
      <c r="W50" s="92"/>
      <c r="X50" s="92"/>
      <c r="Y50" s="92"/>
      <c r="Z50" s="69"/>
    </row>
    <row r="51" spans="1:27" s="70" customFormat="1" ht="12" customHeight="1" x14ac:dyDescent="0.35">
      <c r="A51" s="69"/>
      <c r="B51" s="92"/>
      <c r="C51" s="92"/>
      <c r="D51" s="92"/>
      <c r="E51" s="92"/>
      <c r="F51" s="92"/>
      <c r="G51" s="92"/>
      <c r="H51" s="92"/>
      <c r="I51" s="92"/>
      <c r="J51" s="92"/>
      <c r="K51" s="92"/>
      <c r="L51" s="92"/>
      <c r="M51" s="92"/>
      <c r="N51" s="92"/>
      <c r="O51" s="92"/>
      <c r="P51" s="92"/>
      <c r="Q51" s="92"/>
      <c r="R51" s="92"/>
      <c r="S51" s="92"/>
      <c r="T51" s="92"/>
      <c r="U51" s="92"/>
      <c r="V51" s="92"/>
      <c r="W51" s="92"/>
      <c r="X51" s="92"/>
      <c r="Y51" s="92"/>
      <c r="Z51" s="69"/>
    </row>
    <row r="52" spans="1:27" s="70" customFormat="1" ht="12" customHeight="1" x14ac:dyDescent="0.35">
      <c r="A52" s="69"/>
      <c r="B52" s="92"/>
      <c r="C52" s="92"/>
      <c r="D52" s="92"/>
      <c r="E52" s="92"/>
      <c r="F52" s="92"/>
      <c r="G52" s="92"/>
      <c r="H52" s="92"/>
      <c r="I52" s="92"/>
      <c r="J52" s="92"/>
      <c r="K52" s="92"/>
      <c r="L52" s="92"/>
      <c r="M52" s="92"/>
      <c r="N52" s="92"/>
      <c r="O52" s="92"/>
      <c r="P52" s="92"/>
      <c r="Q52" s="92"/>
      <c r="R52" s="92"/>
      <c r="S52" s="92"/>
      <c r="T52" s="92"/>
      <c r="U52" s="92"/>
      <c r="V52" s="92"/>
      <c r="W52" s="92"/>
      <c r="X52" s="92"/>
      <c r="Y52" s="92"/>
      <c r="Z52" s="69"/>
    </row>
    <row r="53" spans="1:27" s="70" customFormat="1" ht="12" customHeight="1" x14ac:dyDescent="0.35">
      <c r="A53" s="69"/>
      <c r="B53" s="92"/>
      <c r="C53" s="92"/>
      <c r="D53" s="92"/>
      <c r="E53" s="92"/>
      <c r="F53" s="92"/>
      <c r="G53" s="92"/>
      <c r="H53" s="92"/>
      <c r="I53" s="92"/>
      <c r="J53" s="92"/>
      <c r="K53" s="92"/>
      <c r="L53" s="92"/>
      <c r="M53" s="92"/>
      <c r="N53" s="92"/>
      <c r="O53" s="92"/>
      <c r="P53" s="92"/>
      <c r="Q53" s="92"/>
      <c r="R53" s="92"/>
      <c r="S53" s="92"/>
      <c r="T53" s="92"/>
      <c r="U53" s="92"/>
      <c r="V53" s="92"/>
      <c r="W53" s="92"/>
      <c r="X53" s="92"/>
      <c r="Y53" s="92"/>
      <c r="Z53" s="69"/>
    </row>
    <row r="54" spans="1:27" s="70" customFormat="1" ht="12" customHeight="1" x14ac:dyDescent="0.35">
      <c r="A54" s="69"/>
      <c r="B54" s="92"/>
      <c r="C54" s="92"/>
      <c r="D54" s="92"/>
      <c r="E54" s="92"/>
      <c r="F54" s="92"/>
      <c r="G54" s="92"/>
      <c r="H54" s="92"/>
      <c r="I54" s="92"/>
      <c r="J54" s="92"/>
      <c r="K54" s="92"/>
      <c r="L54" s="92"/>
      <c r="M54" s="92"/>
      <c r="N54" s="92"/>
      <c r="O54" s="92"/>
      <c r="P54" s="92"/>
      <c r="Q54" s="92"/>
      <c r="R54" s="92"/>
      <c r="S54" s="92"/>
      <c r="T54" s="92"/>
      <c r="U54" s="92"/>
      <c r="V54" s="92"/>
      <c r="W54" s="92"/>
      <c r="X54" s="92"/>
      <c r="Y54" s="92"/>
      <c r="Z54" s="69"/>
      <c r="AA54" s="64"/>
    </row>
    <row r="55" spans="1:27" s="70" customFormat="1" ht="18" customHeight="1" x14ac:dyDescent="0.35">
      <c r="A55" s="69"/>
      <c r="B55" s="92"/>
      <c r="C55" s="92"/>
      <c r="D55" s="92"/>
      <c r="E55" s="92"/>
      <c r="F55" s="92"/>
      <c r="G55" s="92"/>
      <c r="H55" s="92"/>
      <c r="I55" s="92"/>
      <c r="J55" s="92"/>
      <c r="K55" s="92"/>
      <c r="L55" s="92"/>
      <c r="M55" s="92"/>
      <c r="N55" s="92"/>
      <c r="O55" s="92"/>
      <c r="P55" s="92"/>
      <c r="Q55" s="92"/>
      <c r="R55" s="92"/>
      <c r="S55" s="92"/>
      <c r="T55" s="92"/>
      <c r="U55" s="92"/>
      <c r="V55" s="92"/>
      <c r="W55" s="92"/>
      <c r="X55" s="92"/>
      <c r="Y55" s="92"/>
      <c r="Z55" s="69"/>
      <c r="AA55" s="64"/>
    </row>
    <row r="56" spans="1:27" s="70" customFormat="1" ht="45" customHeight="1" x14ac:dyDescent="0.35">
      <c r="A56" s="69"/>
      <c r="B56" s="92"/>
      <c r="C56" s="92"/>
      <c r="D56" s="92"/>
      <c r="E56" s="92"/>
      <c r="F56" s="92"/>
      <c r="G56" s="92"/>
      <c r="H56" s="92"/>
      <c r="I56" s="92"/>
      <c r="J56" s="92"/>
      <c r="K56" s="92"/>
      <c r="L56" s="92"/>
      <c r="M56" s="92"/>
      <c r="N56" s="92"/>
      <c r="O56" s="92"/>
      <c r="P56" s="92"/>
      <c r="Q56" s="92"/>
      <c r="R56" s="92"/>
      <c r="S56" s="92"/>
      <c r="T56" s="92"/>
      <c r="U56" s="92"/>
      <c r="V56" s="92"/>
      <c r="W56" s="92"/>
      <c r="X56" s="92"/>
      <c r="Y56" s="92"/>
      <c r="Z56" s="69"/>
      <c r="AA56" s="64"/>
    </row>
    <row r="57" spans="1:27" s="70" customFormat="1" ht="6" customHeight="1" x14ac:dyDescent="0.35">
      <c r="A57" s="69"/>
      <c r="B57" s="92"/>
      <c r="C57" s="92"/>
      <c r="D57" s="92"/>
      <c r="E57" s="92"/>
      <c r="F57" s="92"/>
      <c r="G57" s="92"/>
      <c r="H57" s="92"/>
      <c r="I57" s="92"/>
      <c r="J57" s="92"/>
      <c r="K57" s="92"/>
      <c r="L57" s="92"/>
      <c r="M57" s="92"/>
      <c r="N57" s="92"/>
      <c r="O57" s="92"/>
      <c r="P57" s="92"/>
      <c r="Q57" s="92"/>
      <c r="R57" s="92"/>
      <c r="S57" s="92"/>
      <c r="T57" s="92"/>
      <c r="U57" s="92"/>
      <c r="V57" s="92"/>
      <c r="W57" s="92"/>
      <c r="X57" s="92"/>
      <c r="Y57" s="92"/>
      <c r="Z57" s="69"/>
      <c r="AA57" s="64"/>
    </row>
    <row r="58" spans="1:27" s="70" customFormat="1" ht="38.25" customHeight="1" x14ac:dyDescent="0.35">
      <c r="A58" s="69"/>
      <c r="B58" s="92"/>
      <c r="C58" s="92"/>
      <c r="D58" s="92"/>
      <c r="E58" s="92"/>
      <c r="F58" s="92"/>
      <c r="G58" s="92"/>
      <c r="H58" s="92"/>
      <c r="I58" s="92"/>
      <c r="J58" s="92"/>
      <c r="K58" s="92"/>
      <c r="L58" s="92"/>
      <c r="M58" s="92"/>
      <c r="N58" s="92"/>
      <c r="O58" s="92"/>
      <c r="P58" s="92"/>
      <c r="Q58" s="92"/>
      <c r="R58" s="92"/>
      <c r="S58" s="92"/>
      <c r="T58" s="92"/>
      <c r="U58" s="92"/>
      <c r="V58" s="92"/>
      <c r="W58" s="92"/>
      <c r="X58" s="92"/>
      <c r="Y58" s="92"/>
      <c r="Z58" s="69"/>
      <c r="AA58" s="64"/>
    </row>
    <row r="59" spans="1:27" s="70" customFormat="1" ht="6.75" customHeight="1" x14ac:dyDescent="0.35">
      <c r="A59" s="69"/>
      <c r="B59" s="92"/>
      <c r="C59" s="92"/>
      <c r="D59" s="92"/>
      <c r="E59" s="92"/>
      <c r="F59" s="92"/>
      <c r="G59" s="92"/>
      <c r="H59" s="92"/>
      <c r="I59" s="92"/>
      <c r="J59" s="92"/>
      <c r="K59" s="92"/>
      <c r="L59" s="92"/>
      <c r="M59" s="92"/>
      <c r="N59" s="92"/>
      <c r="O59" s="92"/>
      <c r="P59" s="92"/>
      <c r="Q59" s="92"/>
      <c r="R59" s="92"/>
      <c r="S59" s="92"/>
      <c r="T59" s="92"/>
      <c r="U59" s="92"/>
      <c r="V59" s="92"/>
      <c r="W59" s="92"/>
      <c r="X59" s="92"/>
      <c r="Y59" s="92"/>
      <c r="Z59" s="69"/>
      <c r="AA59" s="64"/>
    </row>
    <row r="60" spans="1:27" s="70" customFormat="1" ht="15" customHeight="1" x14ac:dyDescent="0.35">
      <c r="A60" s="69"/>
      <c r="B60" s="92"/>
      <c r="C60" s="92"/>
      <c r="D60" s="92"/>
      <c r="E60" s="92"/>
      <c r="F60" s="92"/>
      <c r="G60" s="92"/>
      <c r="H60" s="92"/>
      <c r="I60" s="92"/>
      <c r="J60" s="92"/>
      <c r="K60" s="92"/>
      <c r="L60" s="92"/>
      <c r="M60" s="92"/>
      <c r="N60" s="92"/>
      <c r="O60" s="92"/>
      <c r="P60" s="92"/>
      <c r="Q60" s="92"/>
      <c r="R60" s="92"/>
      <c r="S60" s="92"/>
      <c r="T60" s="92"/>
      <c r="U60" s="92"/>
      <c r="V60" s="92"/>
      <c r="W60" s="92"/>
      <c r="X60" s="92"/>
      <c r="Y60" s="92"/>
      <c r="Z60" s="69"/>
      <c r="AA60" s="64"/>
    </row>
    <row r="61" spans="1:27" s="70" customFormat="1" ht="15" customHeight="1" x14ac:dyDescent="0.35">
      <c r="A61" s="69"/>
      <c r="B61" s="92"/>
      <c r="C61" s="92"/>
      <c r="D61" s="92"/>
      <c r="E61" s="92"/>
      <c r="F61" s="92"/>
      <c r="G61" s="92"/>
      <c r="H61" s="92"/>
      <c r="I61" s="92"/>
      <c r="J61" s="92"/>
      <c r="K61" s="92"/>
      <c r="L61" s="92"/>
      <c r="M61" s="92"/>
      <c r="N61" s="92"/>
      <c r="O61" s="92"/>
      <c r="P61" s="92"/>
      <c r="Q61" s="92"/>
      <c r="R61" s="92"/>
      <c r="S61" s="92"/>
      <c r="T61" s="92"/>
      <c r="U61" s="92"/>
      <c r="V61" s="92"/>
      <c r="W61" s="92"/>
      <c r="X61" s="92"/>
      <c r="Y61" s="92"/>
      <c r="Z61" s="69"/>
      <c r="AA61" s="64"/>
    </row>
    <row r="62" spans="1:27" s="70" customFormat="1" ht="15.75" customHeight="1" x14ac:dyDescent="0.35">
      <c r="A62" s="69"/>
      <c r="B62" s="61">
        <v>1</v>
      </c>
      <c r="C62" s="62" t="s">
        <v>7</v>
      </c>
      <c r="D62" s="92"/>
      <c r="E62" s="92"/>
      <c r="F62" s="92"/>
      <c r="G62" s="92"/>
      <c r="H62" s="92"/>
      <c r="I62" s="92"/>
      <c r="J62" s="92"/>
      <c r="K62" s="92"/>
      <c r="L62" s="92"/>
      <c r="M62" s="92"/>
      <c r="N62" s="92"/>
      <c r="O62" s="92"/>
      <c r="P62" s="92"/>
      <c r="Q62" s="92"/>
      <c r="R62" s="92"/>
      <c r="S62" s="92"/>
      <c r="T62" s="92"/>
      <c r="U62" s="92"/>
      <c r="V62" s="92"/>
      <c r="W62" s="92"/>
      <c r="X62" s="92"/>
      <c r="Y62" s="92"/>
      <c r="Z62" s="69"/>
      <c r="AA62" s="64"/>
    </row>
    <row r="63" spans="1:27" ht="13.5" customHeight="1" x14ac:dyDescent="0.35">
      <c r="A63" s="15"/>
      <c r="B63" s="61">
        <v>2</v>
      </c>
      <c r="C63" s="62" t="s">
        <v>8</v>
      </c>
      <c r="D63" s="92"/>
      <c r="E63" s="92"/>
      <c r="F63" s="92"/>
      <c r="G63" s="92"/>
      <c r="H63" s="92"/>
      <c r="I63" s="92"/>
      <c r="J63" s="92"/>
      <c r="K63" s="92"/>
      <c r="L63" s="92"/>
      <c r="M63" s="92"/>
      <c r="N63" s="92"/>
      <c r="O63" s="92"/>
      <c r="P63" s="92"/>
      <c r="Q63" s="92"/>
      <c r="R63" s="92"/>
      <c r="S63" s="92"/>
      <c r="T63" s="92"/>
      <c r="U63" s="92"/>
      <c r="V63" s="92"/>
      <c r="W63" s="92"/>
      <c r="X63" s="92"/>
      <c r="Y63" s="92"/>
      <c r="Z63" s="15"/>
    </row>
    <row r="64" spans="1:27" ht="14.5" x14ac:dyDescent="0.35">
      <c r="A64" s="15"/>
      <c r="B64" s="92"/>
      <c r="C64" s="92"/>
      <c r="D64" s="92"/>
      <c r="E64" s="92"/>
      <c r="F64" s="92"/>
      <c r="G64" s="92"/>
      <c r="H64" s="92"/>
      <c r="I64" s="92"/>
      <c r="J64" s="92"/>
      <c r="K64" s="92"/>
      <c r="L64" s="92"/>
      <c r="M64" s="92"/>
      <c r="N64" s="92"/>
      <c r="O64" s="92"/>
      <c r="P64" s="92"/>
      <c r="Q64" s="92"/>
      <c r="R64" s="92"/>
      <c r="S64" s="92"/>
      <c r="T64" s="92"/>
      <c r="U64" s="92"/>
      <c r="V64" s="92"/>
      <c r="W64" s="92"/>
      <c r="X64" s="92"/>
      <c r="Y64" s="92"/>
      <c r="Z64" s="15"/>
    </row>
    <row r="65" spans="1:26" ht="14.25" customHeight="1" x14ac:dyDescent="0.35">
      <c r="A65" s="15"/>
      <c r="B65" s="53"/>
      <c r="C65" s="9"/>
      <c r="D65" s="92"/>
      <c r="E65" s="9"/>
      <c r="F65" s="9"/>
      <c r="G65" s="9"/>
      <c r="H65" s="9"/>
      <c r="I65" s="9"/>
      <c r="J65" s="9"/>
      <c r="K65" s="9"/>
      <c r="L65" s="9"/>
      <c r="M65" s="9"/>
      <c r="N65" s="9"/>
      <c r="O65" s="9"/>
      <c r="P65" s="9"/>
      <c r="Q65" s="9"/>
      <c r="R65" s="9"/>
      <c r="S65" s="9"/>
      <c r="T65" s="9"/>
      <c r="U65" s="9"/>
      <c r="V65" s="9"/>
      <c r="W65" s="9"/>
      <c r="X65" s="9"/>
      <c r="Y65" s="9"/>
      <c r="Z65" s="15"/>
    </row>
    <row r="66" spans="1:26" ht="14.5" x14ac:dyDescent="0.35">
      <c r="I66"/>
    </row>
    <row r="67" spans="1:26" ht="14.5" x14ac:dyDescent="0.35">
      <c r="I67"/>
    </row>
    <row r="68" spans="1:26" ht="14.5" x14ac:dyDescent="0.35">
      <c r="I68"/>
      <c r="K68" s="171"/>
    </row>
    <row r="69" spans="1:26" ht="14.5" x14ac:dyDescent="0.35">
      <c r="I69"/>
      <c r="K69" s="171"/>
    </row>
    <row r="99" spans="15:15" ht="14.5" x14ac:dyDescent="0.35">
      <c r="O99"/>
    </row>
    <row r="100" spans="15:15" ht="14.5" x14ac:dyDescent="0.35">
      <c r="O100"/>
    </row>
    <row r="101" spans="15:15" ht="14.5" x14ac:dyDescent="0.35">
      <c r="O101"/>
    </row>
    <row r="102" spans="15:15" ht="14.5" x14ac:dyDescent="0.35">
      <c r="O102"/>
    </row>
    <row r="103" spans="15:15" ht="14.5" x14ac:dyDescent="0.35">
      <c r="O103"/>
    </row>
    <row r="104" spans="15:15" ht="14.5" x14ac:dyDescent="0.35">
      <c r="O104"/>
    </row>
    <row r="105" spans="15:15" ht="14.5" x14ac:dyDescent="0.35">
      <c r="O105"/>
    </row>
    <row r="106" spans="15:15" ht="14.5" x14ac:dyDescent="0.35">
      <c r="O106"/>
    </row>
    <row r="107" spans="15:15" ht="14.5" x14ac:dyDescent="0.35">
      <c r="O107"/>
    </row>
    <row r="108" spans="15:15" ht="14.5" x14ac:dyDescent="0.35">
      <c r="O108"/>
    </row>
    <row r="109" spans="15:15" ht="14.5" x14ac:dyDescent="0.35">
      <c r="O109"/>
    </row>
    <row r="110" spans="15:15" ht="14.5" x14ac:dyDescent="0.35">
      <c r="O110"/>
    </row>
    <row r="111" spans="15:15" ht="14.5" x14ac:dyDescent="0.35">
      <c r="O111"/>
    </row>
    <row r="112" spans="15:15" ht="14.5" x14ac:dyDescent="0.35">
      <c r="O112"/>
    </row>
    <row r="113" spans="15:15" ht="14.5" x14ac:dyDescent="0.35">
      <c r="O113"/>
    </row>
    <row r="114" spans="15:15" ht="14.5" x14ac:dyDescent="0.35">
      <c r="O114"/>
    </row>
    <row r="115" spans="15:15" ht="14.5" x14ac:dyDescent="0.35">
      <c r="O115"/>
    </row>
    <row r="116" spans="15:15" ht="14.5" x14ac:dyDescent="0.35">
      <c r="O116"/>
    </row>
    <row r="117" spans="15:15" ht="14.5" x14ac:dyDescent="0.35">
      <c r="O117"/>
    </row>
    <row r="118" spans="15:15" ht="14.5" x14ac:dyDescent="0.35">
      <c r="O118"/>
    </row>
    <row r="119" spans="15:15" ht="14.5" x14ac:dyDescent="0.35">
      <c r="O119"/>
    </row>
    <row r="120" spans="15:15" ht="14.5" x14ac:dyDescent="0.35">
      <c r="O120"/>
    </row>
    <row r="121" spans="15:15" ht="14.5" x14ac:dyDescent="0.35">
      <c r="O121"/>
    </row>
    <row r="122" spans="15:15" ht="14.5" x14ac:dyDescent="0.35">
      <c r="O122"/>
    </row>
    <row r="123" spans="15:15" ht="14.5" x14ac:dyDescent="0.35">
      <c r="O123"/>
    </row>
    <row r="124" spans="15:15" ht="14.5" x14ac:dyDescent="0.35">
      <c r="O124"/>
    </row>
    <row r="125" spans="15:15" ht="14.5" x14ac:dyDescent="0.35">
      <c r="O125"/>
    </row>
    <row r="126" spans="15:15" ht="14.5" x14ac:dyDescent="0.35">
      <c r="O126"/>
    </row>
    <row r="127" spans="15:15" ht="14.5" x14ac:dyDescent="0.35">
      <c r="O127"/>
    </row>
    <row r="128" spans="15:15" ht="14.5" x14ac:dyDescent="0.35">
      <c r="O128"/>
    </row>
    <row r="129" spans="15:15" ht="14.5" x14ac:dyDescent="0.35">
      <c r="O129"/>
    </row>
    <row r="130" spans="15:15" ht="14.5" x14ac:dyDescent="0.35">
      <c r="O130"/>
    </row>
    <row r="131" spans="15:15" ht="14.5" x14ac:dyDescent="0.35">
      <c r="O131"/>
    </row>
    <row r="132" spans="15:15" ht="14.5" x14ac:dyDescent="0.35">
      <c r="O132"/>
    </row>
    <row r="133" spans="15:15" ht="14.5" x14ac:dyDescent="0.35">
      <c r="O133"/>
    </row>
    <row r="134" spans="15:15" ht="14.5" x14ac:dyDescent="0.35">
      <c r="O134"/>
    </row>
    <row r="135" spans="15:15" ht="14.5" x14ac:dyDescent="0.35">
      <c r="O135"/>
    </row>
    <row r="136" spans="15:15" ht="14.5" x14ac:dyDescent="0.35">
      <c r="O136"/>
    </row>
    <row r="137" spans="15:15" ht="14.5" x14ac:dyDescent="0.35">
      <c r="O137"/>
    </row>
    <row r="138" spans="15:15" ht="14.5" x14ac:dyDescent="0.35">
      <c r="O138"/>
    </row>
    <row r="139" spans="15:15" ht="14.5" x14ac:dyDescent="0.35">
      <c r="O139"/>
    </row>
    <row r="140" spans="15:15" ht="14.5" x14ac:dyDescent="0.35">
      <c r="O140"/>
    </row>
    <row r="141" spans="15:15" ht="14.5" x14ac:dyDescent="0.35">
      <c r="O141"/>
    </row>
    <row r="142" spans="15:15" ht="14.5" x14ac:dyDescent="0.35">
      <c r="O142"/>
    </row>
    <row r="143" spans="15:15" ht="14.5" x14ac:dyDescent="0.35">
      <c r="O143"/>
    </row>
    <row r="144" spans="15:15" ht="14.5" x14ac:dyDescent="0.35">
      <c r="O144"/>
    </row>
    <row r="145" spans="15:15" ht="14.5" x14ac:dyDescent="0.35">
      <c r="O145"/>
    </row>
    <row r="146" spans="15:15" ht="14.5" x14ac:dyDescent="0.35">
      <c r="O146"/>
    </row>
    <row r="147" spans="15:15" ht="14.5" x14ac:dyDescent="0.35">
      <c r="O147"/>
    </row>
    <row r="148" spans="15:15" ht="14.5" x14ac:dyDescent="0.35">
      <c r="O148"/>
    </row>
    <row r="149" spans="15:15" ht="14.5" x14ac:dyDescent="0.35">
      <c r="O149"/>
    </row>
    <row r="150" spans="15:15" ht="14.5" x14ac:dyDescent="0.35">
      <c r="O150"/>
    </row>
    <row r="151" spans="15:15" ht="14.5" x14ac:dyDescent="0.35">
      <c r="O151"/>
    </row>
    <row r="152" spans="15:15" ht="14.5" x14ac:dyDescent="0.35">
      <c r="O152"/>
    </row>
    <row r="153" spans="15:15" ht="14.5" x14ac:dyDescent="0.35">
      <c r="O153"/>
    </row>
    <row r="154" spans="15:15" ht="14.5" x14ac:dyDescent="0.35">
      <c r="O154"/>
    </row>
    <row r="155" spans="15:15" ht="14.5" x14ac:dyDescent="0.35">
      <c r="O155"/>
    </row>
    <row r="156" spans="15:15" ht="14.5" x14ac:dyDescent="0.35">
      <c r="O156"/>
    </row>
    <row r="157" spans="15:15" ht="14.5" x14ac:dyDescent="0.35">
      <c r="O157"/>
    </row>
    <row r="158" spans="15:15" ht="14.5" x14ac:dyDescent="0.35">
      <c r="O158"/>
    </row>
    <row r="159" spans="15:15" ht="14.5" x14ac:dyDescent="0.35">
      <c r="O159"/>
    </row>
    <row r="160" spans="15:15" ht="14.5" x14ac:dyDescent="0.35">
      <c r="O160"/>
    </row>
    <row r="161" spans="15:15" ht="14.5" x14ac:dyDescent="0.35">
      <c r="O161"/>
    </row>
    <row r="162" spans="15:15" ht="14.5" x14ac:dyDescent="0.35">
      <c r="O162"/>
    </row>
    <row r="163" spans="15:15" ht="14.5" x14ac:dyDescent="0.35">
      <c r="O163"/>
    </row>
    <row r="164" spans="15:15" ht="14.5" x14ac:dyDescent="0.35">
      <c r="O164"/>
    </row>
    <row r="165" spans="15:15" ht="14.5" x14ac:dyDescent="0.35">
      <c r="O165"/>
    </row>
    <row r="166" spans="15:15" ht="14.5" x14ac:dyDescent="0.35">
      <c r="O166"/>
    </row>
    <row r="167" spans="15:15" ht="14.5" x14ac:dyDescent="0.35">
      <c r="O167"/>
    </row>
    <row r="168" spans="15:15" ht="14.5" x14ac:dyDescent="0.35">
      <c r="O168"/>
    </row>
    <row r="169" spans="15:15" ht="14.5" x14ac:dyDescent="0.35">
      <c r="O169"/>
    </row>
    <row r="170" spans="15:15" ht="14.5" x14ac:dyDescent="0.35">
      <c r="O170"/>
    </row>
    <row r="171" spans="15:15" ht="14.5" x14ac:dyDescent="0.35">
      <c r="O171"/>
    </row>
    <row r="172" spans="15:15" ht="14.5" x14ac:dyDescent="0.35">
      <c r="O172"/>
    </row>
    <row r="173" spans="15:15" ht="14.5" x14ac:dyDescent="0.35">
      <c r="O173"/>
    </row>
    <row r="174" spans="15:15" ht="14.5" x14ac:dyDescent="0.35">
      <c r="O174"/>
    </row>
    <row r="175" spans="15:15" ht="14.5" x14ac:dyDescent="0.35">
      <c r="O175"/>
    </row>
    <row r="176" spans="15:15" ht="14.5" x14ac:dyDescent="0.35">
      <c r="O176"/>
    </row>
    <row r="177" spans="15:15" ht="14.5" x14ac:dyDescent="0.35">
      <c r="O177"/>
    </row>
    <row r="178" spans="15:15" ht="14.5" x14ac:dyDescent="0.35">
      <c r="O178"/>
    </row>
    <row r="179" spans="15:15" ht="14.5" x14ac:dyDescent="0.35">
      <c r="O179"/>
    </row>
    <row r="180" spans="15:15" ht="14.5" x14ac:dyDescent="0.35">
      <c r="O180"/>
    </row>
    <row r="181" spans="15:15" ht="14.5" x14ac:dyDescent="0.35">
      <c r="O181"/>
    </row>
    <row r="182" spans="15:15" ht="14.5" x14ac:dyDescent="0.35">
      <c r="O182"/>
    </row>
    <row r="183" spans="15:15" ht="14.5" x14ac:dyDescent="0.35">
      <c r="O183"/>
    </row>
    <row r="184" spans="15:15" ht="14.5" x14ac:dyDescent="0.35">
      <c r="O184"/>
    </row>
  </sheetData>
  <sheetProtection algorithmName="SHA-512" hashValue="5wq8pxZg82WFUF2w81OhC68Xk+Ptsc/9Fki+rfuTl+zajZpmemPsQoVH/ozY1fpIlxzhEZLhZw6ZGfVOg472mA==" saltValue="yZ92vMXju/BhvdDJoXGR7w==" spinCount="100000" sheet="1" objects="1" scenarios="1"/>
  <mergeCells count="9">
    <mergeCell ref="B7:Y7"/>
    <mergeCell ref="E21:Q21"/>
    <mergeCell ref="E23:Q23"/>
    <mergeCell ref="B19:O19"/>
    <mergeCell ref="B10:Y10"/>
    <mergeCell ref="C13:X13"/>
    <mergeCell ref="C14:X14"/>
    <mergeCell ref="C15:X15"/>
    <mergeCell ref="B22:M22"/>
  </mergeCells>
  <hyperlinks>
    <hyperlink ref="E23" r:id="rId1" xr:uid="{546755EE-752A-4B89-9FA1-483C5A0A5105}"/>
    <hyperlink ref="E21:M21" r:id="rId2" display="Frequently Asked Questions: EU Low Carbon Benchmark Regulation" xr:uid="{D468456A-EFF0-4A71-93B5-E93EC42D907C}"/>
    <hyperlink ref="E23:M23" r:id="rId3" display="Frequently Asked Questions S&amp;P DJI’s Approach to the EU Low Carbon Benchmark Regulation Disclosure Requirements" xr:uid="{64CE4840-8863-4756-A3D0-26A3F3474591}"/>
    <hyperlink ref="C62" r:id="rId4" xr:uid="{5E0394AE-3939-4F15-97BF-A6683D7E39D1}"/>
    <hyperlink ref="C63" r:id="rId5" xr:uid="{689942F3-4104-410A-8272-5BA2384736E8}"/>
  </hyperlinks>
  <printOptions gridLines="1"/>
  <pageMargins left="0" right="0" top="0" bottom="0" header="0.3" footer="0.3"/>
  <pageSetup scale="42"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41DD-61F6-4149-A3EB-123B9B6AB3C9}">
  <sheetPr codeName="Sheet2">
    <tabColor theme="1"/>
    <pageSetUpPr fitToPage="1"/>
  </sheetPr>
  <dimension ref="A1:AF199"/>
  <sheetViews>
    <sheetView zoomScale="85" zoomScaleNormal="85" workbookViewId="0">
      <selection activeCell="I10" sqref="I10:O10"/>
    </sheetView>
  </sheetViews>
  <sheetFormatPr defaultColWidth="9.08984375" defaultRowHeight="14" x14ac:dyDescent="0.3"/>
  <cols>
    <col min="1" max="1" width="5.6328125" style="64" customWidth="1"/>
    <col min="2" max="4" width="5.453125" style="64" customWidth="1"/>
    <col min="5" max="5" width="8.54296875" style="64" customWidth="1"/>
    <col min="6" max="6" width="15.6328125" style="64" customWidth="1"/>
    <col min="7" max="7" width="13.36328125" style="64" customWidth="1"/>
    <col min="8" max="8" width="1.54296875" style="64" customWidth="1"/>
    <col min="9" max="9" width="22.90625" style="64" customWidth="1"/>
    <col min="10" max="10" width="2.36328125" style="64" customWidth="1"/>
    <col min="11" max="11" width="22.90625" style="64" customWidth="1"/>
    <col min="12" max="12" width="1.453125" style="64" customWidth="1"/>
    <col min="13" max="13" width="20.90625" style="64" customWidth="1"/>
    <col min="14" max="14" width="5.6328125" style="64" customWidth="1"/>
    <col min="15" max="15" width="40.90625" style="64" customWidth="1"/>
    <col min="16" max="16" width="2.90625" style="64" customWidth="1"/>
    <col min="17" max="17" width="35.54296875" style="64" customWidth="1"/>
    <col min="18" max="18" width="2.90625" style="64" customWidth="1"/>
    <col min="19" max="19" width="14.36328125" style="64" customWidth="1"/>
    <col min="20" max="20" width="2.90625" style="64" customWidth="1"/>
    <col min="21" max="21" width="11.453125" style="64" customWidth="1"/>
    <col min="22" max="22" width="2.90625" style="64" customWidth="1"/>
    <col min="23" max="24" width="16.36328125" style="64" customWidth="1"/>
    <col min="25" max="25" width="27.54296875" style="64" customWidth="1"/>
    <col min="26" max="26" width="5.6328125" style="64" customWidth="1"/>
    <col min="27" max="27" width="9.08984375" style="64"/>
    <col min="28" max="28" width="14" style="64" customWidth="1"/>
    <col min="29" max="29" width="22.6328125" style="64" customWidth="1"/>
    <col min="30" max="30" width="16.453125" style="64" customWidth="1"/>
    <col min="31" max="31" width="9.08984375" style="64"/>
    <col min="32" max="32" width="13" style="64" customWidth="1"/>
    <col min="33" max="33" width="9.08984375" style="64"/>
    <col min="34" max="34" width="11" style="64" customWidth="1"/>
    <col min="35" max="16384" width="9.08984375" style="64"/>
  </cols>
  <sheetData>
    <row r="1" spans="1:32" ht="75" customHeight="1" x14ac:dyDescent="0.3">
      <c r="A1" s="63"/>
      <c r="B1" s="63"/>
      <c r="C1" s="63"/>
      <c r="D1" s="63"/>
      <c r="E1" s="63"/>
      <c r="F1" s="63"/>
      <c r="G1" s="63"/>
      <c r="H1" s="63"/>
      <c r="I1" s="63"/>
      <c r="J1" s="63"/>
      <c r="K1" s="63"/>
      <c r="L1" s="63"/>
      <c r="M1" s="63"/>
      <c r="N1" s="63"/>
      <c r="O1" s="63"/>
      <c r="P1" s="63"/>
      <c r="Q1" s="63"/>
      <c r="R1" s="63"/>
      <c r="S1" s="63"/>
      <c r="T1" s="63"/>
      <c r="U1" s="63"/>
      <c r="V1" s="63"/>
      <c r="W1" s="63"/>
      <c r="X1" s="63"/>
      <c r="Y1" s="63"/>
      <c r="Z1" s="63"/>
    </row>
    <row r="2" spans="1:32" ht="1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32" ht="30.75" customHeight="1" x14ac:dyDescent="0.3">
      <c r="A3" s="15"/>
      <c r="B3" s="96" t="s">
        <v>649</v>
      </c>
      <c r="C3" s="34"/>
      <c r="D3" s="34"/>
      <c r="E3" s="15"/>
      <c r="F3" s="15"/>
      <c r="G3" s="15"/>
      <c r="H3" s="15"/>
      <c r="I3" s="15"/>
      <c r="J3" s="15"/>
      <c r="K3" s="15"/>
      <c r="L3" s="15"/>
      <c r="M3" s="15"/>
      <c r="N3" s="15"/>
      <c r="O3" s="15"/>
      <c r="P3" s="15"/>
      <c r="Q3" s="15"/>
      <c r="R3" s="15"/>
      <c r="S3" s="15"/>
      <c r="T3" s="15"/>
      <c r="U3" s="15"/>
      <c r="V3" s="15"/>
      <c r="W3" s="15"/>
      <c r="X3" s="15"/>
      <c r="Y3" s="264" t="str">
        <f>'Front Cover'!Y3</f>
        <v>December 2024</v>
      </c>
      <c r="Z3" s="15"/>
    </row>
    <row r="4" spans="1:32" ht="15" customHeight="1" x14ac:dyDescent="0.3">
      <c r="A4" s="15"/>
      <c r="B4" s="34"/>
      <c r="C4" s="34"/>
      <c r="D4" s="34"/>
      <c r="E4" s="15"/>
      <c r="F4" s="15"/>
      <c r="G4" s="15"/>
      <c r="H4" s="15"/>
      <c r="I4" s="15"/>
      <c r="J4" s="15"/>
      <c r="K4" s="15"/>
      <c r="L4" s="15"/>
      <c r="M4" s="15"/>
      <c r="N4" s="15"/>
      <c r="O4" s="15"/>
      <c r="P4" s="15"/>
      <c r="Q4" s="15"/>
      <c r="R4" s="15"/>
      <c r="S4" s="15"/>
      <c r="T4" s="15"/>
      <c r="U4" s="15"/>
      <c r="V4" s="15"/>
      <c r="W4" s="15"/>
      <c r="X4" s="15"/>
      <c r="Y4" s="15"/>
      <c r="Z4" s="15"/>
    </row>
    <row r="5" spans="1:32" ht="21" customHeight="1" x14ac:dyDescent="0.4">
      <c r="A5" s="15"/>
      <c r="B5" s="14" t="s">
        <v>9</v>
      </c>
      <c r="C5" s="14"/>
      <c r="D5" s="14"/>
      <c r="E5" s="15"/>
      <c r="F5" s="15"/>
      <c r="G5" s="15"/>
      <c r="H5" s="15"/>
      <c r="I5" s="15"/>
      <c r="J5" s="15"/>
      <c r="K5" s="15"/>
      <c r="L5" s="15"/>
      <c r="M5" s="15"/>
      <c r="N5" s="15"/>
      <c r="O5" s="15"/>
      <c r="P5" s="15"/>
      <c r="Q5" s="15"/>
      <c r="R5" s="15"/>
      <c r="S5" s="15"/>
      <c r="T5" s="15"/>
      <c r="U5" s="15"/>
      <c r="V5" s="15"/>
      <c r="W5" s="15"/>
      <c r="X5" s="15"/>
      <c r="Y5" s="15"/>
      <c r="Z5" s="15"/>
    </row>
    <row r="6" spans="1:32" ht="15" customHeight="1" x14ac:dyDescent="0.4">
      <c r="A6" s="15"/>
      <c r="B6" s="14"/>
      <c r="C6" s="14"/>
      <c r="D6" s="14"/>
      <c r="E6" s="15"/>
      <c r="F6" s="15"/>
      <c r="G6" s="15"/>
      <c r="H6" s="15"/>
      <c r="I6" s="15"/>
      <c r="J6" s="15"/>
      <c r="K6" s="15"/>
      <c r="L6" s="15"/>
      <c r="M6" s="15"/>
      <c r="N6" s="15"/>
      <c r="O6" s="15"/>
      <c r="P6" s="15"/>
      <c r="Q6" s="15"/>
      <c r="R6" s="15"/>
      <c r="S6" s="15"/>
      <c r="T6" s="15"/>
      <c r="U6" s="15"/>
      <c r="V6" s="15"/>
      <c r="W6" s="15"/>
      <c r="X6" s="15"/>
      <c r="Y6" s="15"/>
      <c r="Z6" s="15"/>
    </row>
    <row r="7" spans="1:32" ht="48.75" customHeight="1" x14ac:dyDescent="0.3">
      <c r="A7" s="15"/>
      <c r="B7" s="328" t="s">
        <v>658</v>
      </c>
      <c r="C7" s="328"/>
      <c r="D7" s="328"/>
      <c r="E7" s="328"/>
      <c r="F7" s="328"/>
      <c r="G7" s="328"/>
      <c r="H7" s="328"/>
      <c r="I7" s="328"/>
      <c r="J7" s="328"/>
      <c r="K7" s="328"/>
      <c r="L7" s="328"/>
      <c r="M7" s="328"/>
      <c r="N7" s="328"/>
      <c r="O7" s="328"/>
      <c r="P7" s="328"/>
      <c r="Q7" s="328"/>
      <c r="R7" s="328"/>
      <c r="S7" s="328"/>
      <c r="T7" s="328"/>
      <c r="U7" s="328"/>
      <c r="V7" s="328"/>
      <c r="W7" s="328"/>
      <c r="X7" s="328"/>
      <c r="Y7" s="328"/>
      <c r="Z7" s="15"/>
    </row>
    <row r="8" spans="1:32" ht="15" customHeight="1" x14ac:dyDescent="0.35">
      <c r="A8" s="15"/>
      <c r="B8" s="334" t="s">
        <v>10</v>
      </c>
      <c r="C8" s="335"/>
      <c r="D8" s="335"/>
      <c r="E8" s="335"/>
      <c r="F8" s="335"/>
      <c r="G8" s="336"/>
      <c r="H8" s="71"/>
      <c r="I8" s="340" t="str">
        <f>IF($I$10=" &lt;&lt;&lt; Select Index &gt;&gt;&gt;","",IF(ISERROR(VLOOKUP($I$10&amp;$I$12,'Database - FI'!$B:$DF,109,FALSE))=TRUE,"†",IF(ISBLANK((VLOOKUP($I$10&amp;$I$12,'Database - FI'!$B:$DF,109,FALSE))),"",VLOOKUP($I$10&amp;$I$12,'Database - FI'!$B:$DF,109,FALSE))))</f>
        <v>iBoxx ChinaBond Global Non-Sovereigns China Investment Grade Screened Index Guide</v>
      </c>
      <c r="J8" s="341"/>
      <c r="K8" s="341"/>
      <c r="L8" s="341"/>
      <c r="M8" s="341"/>
      <c r="N8" s="341"/>
      <c r="O8" s="342"/>
      <c r="P8" s="15"/>
      <c r="Q8" s="49"/>
      <c r="R8" s="56"/>
      <c r="S8" s="15"/>
      <c r="T8" s="15"/>
      <c r="U8" s="15"/>
      <c r="V8" s="15"/>
      <c r="W8" s="15"/>
      <c r="X8" s="15"/>
      <c r="Y8" s="15"/>
      <c r="Z8" s="15"/>
    </row>
    <row r="9" spans="1:32" ht="4.5" customHeight="1" thickBot="1" x14ac:dyDescent="0.4">
      <c r="A9" s="15"/>
      <c r="B9" s="17"/>
      <c r="C9" s="17"/>
      <c r="D9" s="17"/>
      <c r="E9" s="18"/>
      <c r="F9" s="17"/>
      <c r="G9" s="17"/>
      <c r="H9" s="76"/>
      <c r="I9" s="76"/>
      <c r="J9" s="76"/>
      <c r="K9" s="76"/>
      <c r="L9" s="76"/>
      <c r="M9" s="76"/>
      <c r="N9" s="76"/>
      <c r="O9" s="76"/>
      <c r="P9" s="15"/>
      <c r="Q9" s="77"/>
      <c r="R9" s="15"/>
      <c r="S9" s="15"/>
      <c r="T9" s="15"/>
      <c r="U9" s="15"/>
      <c r="V9" s="15"/>
      <c r="W9" s="15"/>
      <c r="X9" s="15"/>
      <c r="Y9" s="15"/>
      <c r="Z9" s="15"/>
    </row>
    <row r="10" spans="1:32" ht="15" customHeight="1" thickBot="1" x14ac:dyDescent="0.4">
      <c r="A10" s="15"/>
      <c r="B10" s="337" t="s">
        <v>11</v>
      </c>
      <c r="C10" s="338"/>
      <c r="D10" s="338"/>
      <c r="E10" s="338"/>
      <c r="F10" s="338"/>
      <c r="G10" s="339"/>
      <c r="H10" s="78"/>
      <c r="I10" s="347" t="s">
        <v>150</v>
      </c>
      <c r="J10" s="348"/>
      <c r="K10" s="348"/>
      <c r="L10" s="348"/>
      <c r="M10" s="348"/>
      <c r="N10" s="348"/>
      <c r="O10" s="349"/>
      <c r="P10" s="15"/>
      <c r="Q10" s="274" t="s">
        <v>659</v>
      </c>
      <c r="R10" s="15"/>
      <c r="S10" s="196"/>
      <c r="T10" s="197"/>
      <c r="U10" s="197"/>
      <c r="V10" s="197"/>
      <c r="W10" s="197"/>
      <c r="X10" s="197"/>
      <c r="Y10" s="197"/>
      <c r="Z10" s="15"/>
    </row>
    <row r="11" spans="1:32" ht="7.5" customHeight="1" thickBot="1" x14ac:dyDescent="0.35">
      <c r="A11" s="15"/>
      <c r="B11" s="11"/>
      <c r="C11" s="11"/>
      <c r="D11" s="11"/>
      <c r="E11" s="12"/>
      <c r="F11" s="13"/>
      <c r="G11" s="11"/>
      <c r="H11" s="79"/>
      <c r="I11" s="77"/>
      <c r="J11" s="77"/>
      <c r="K11" s="77"/>
      <c r="L11" s="77"/>
      <c r="M11" s="79"/>
      <c r="N11" s="77"/>
      <c r="O11" s="79"/>
      <c r="P11" s="77"/>
      <c r="Q11" s="77"/>
      <c r="R11" s="73"/>
      <c r="S11" s="195"/>
      <c r="T11" s="165"/>
      <c r="U11" s="165"/>
      <c r="V11" s="165"/>
      <c r="W11" s="165"/>
      <c r="X11" s="165"/>
      <c r="Y11" s="165"/>
      <c r="Z11" s="15"/>
    </row>
    <row r="12" spans="1:32" ht="15" customHeight="1" thickBot="1" x14ac:dyDescent="0.4">
      <c r="A12" s="15"/>
      <c r="B12" s="11"/>
      <c r="C12" s="11"/>
      <c r="D12" s="11"/>
      <c r="E12" s="12"/>
      <c r="F12" s="337" t="s">
        <v>13</v>
      </c>
      <c r="G12" s="339"/>
      <c r="H12" s="78"/>
      <c r="I12" s="273">
        <v>45626</v>
      </c>
      <c r="J12" s="162"/>
      <c r="K12" s="275" t="s">
        <v>660</v>
      </c>
      <c r="L12" s="51"/>
      <c r="M12" s="15"/>
      <c r="N12" s="77"/>
      <c r="O12" s="79"/>
      <c r="P12" s="77"/>
      <c r="Q12" s="77"/>
      <c r="R12" s="58"/>
      <c r="S12" s="93" t="s">
        <v>14</v>
      </c>
      <c r="T12" s="74"/>
      <c r="U12" s="165" t="s">
        <v>15</v>
      </c>
      <c r="V12" s="75"/>
      <c r="W12" s="75" t="s">
        <v>655</v>
      </c>
      <c r="X12" s="75"/>
      <c r="Y12" s="75"/>
      <c r="Z12" s="15"/>
    </row>
    <row r="13" spans="1:32" ht="8.25" customHeight="1" x14ac:dyDescent="0.3">
      <c r="A13" s="15"/>
      <c r="B13" s="11"/>
      <c r="C13" s="11"/>
      <c r="D13" s="11"/>
      <c r="E13" s="12"/>
      <c r="F13" s="13"/>
      <c r="G13" s="11"/>
      <c r="H13" s="79"/>
      <c r="I13" s="77"/>
      <c r="J13" s="77"/>
      <c r="K13" s="77"/>
      <c r="L13" s="77"/>
      <c r="M13" s="79"/>
      <c r="N13" s="77"/>
      <c r="O13" s="79"/>
      <c r="P13" s="77"/>
      <c r="Q13" s="77"/>
      <c r="R13" s="77"/>
      <c r="S13" s="97"/>
      <c r="T13" s="163"/>
      <c r="U13" s="165"/>
      <c r="V13" s="75"/>
      <c r="W13" s="75"/>
      <c r="X13" s="75"/>
      <c r="Y13" s="164"/>
      <c r="Z13" s="58"/>
      <c r="AA13" s="58"/>
      <c r="AB13" s="58"/>
      <c r="AC13" s="58"/>
      <c r="AD13" s="58"/>
      <c r="AE13" s="58"/>
      <c r="AF13" s="58"/>
    </row>
    <row r="14" spans="1:32" ht="15" customHeight="1" x14ac:dyDescent="0.35">
      <c r="A14" s="15"/>
      <c r="B14" s="11"/>
      <c r="C14" s="11"/>
      <c r="D14" s="11"/>
      <c r="E14" s="265"/>
      <c r="F14" s="332" t="s">
        <v>650</v>
      </c>
      <c r="G14" s="333"/>
      <c r="H14" s="266"/>
      <c r="I14" s="351" t="str">
        <f>IF($I$10=" &lt;&lt;&lt; Select Index &gt;&gt;&gt;","",IF(ISERROR(VLOOKUP($I$10&amp;$I$12,'Database - FI'!$B:$L,11,FALSE))=TRUE,"†",IF(ISBLANK((VLOOKUP($I$10&amp;$I$12,'Database - FI'!$B:$L,11,FALSE))),"",VLOOKUP($I$10&amp;$I$12,'Database - FI'!$B:$L,11,FALSE))))</f>
        <v>Fixed Income</v>
      </c>
      <c r="J14" s="352"/>
      <c r="K14" s="353"/>
      <c r="L14" s="79"/>
      <c r="M14" s="79"/>
      <c r="N14" s="79"/>
      <c r="O14" s="79"/>
      <c r="P14" s="77"/>
      <c r="Q14" s="77"/>
      <c r="R14" s="267"/>
      <c r="S14" s="97"/>
      <c r="T14" s="74"/>
      <c r="U14" s="165" t="s">
        <v>16</v>
      </c>
      <c r="V14" s="75"/>
      <c r="W14" s="75" t="s">
        <v>651</v>
      </c>
      <c r="X14" s="75"/>
      <c r="Y14" s="75"/>
      <c r="Z14" s="58"/>
      <c r="AA14" s="58"/>
      <c r="AB14" s="58"/>
      <c r="AC14" s="58"/>
      <c r="AD14" s="58"/>
      <c r="AE14" s="58"/>
      <c r="AF14" s="58"/>
    </row>
    <row r="15" spans="1:32" ht="15" customHeight="1" x14ac:dyDescent="0.3">
      <c r="A15" s="15"/>
      <c r="B15" s="11"/>
      <c r="C15" s="11"/>
      <c r="D15" s="11"/>
      <c r="E15" s="12"/>
      <c r="F15" s="13"/>
      <c r="G15" s="11"/>
      <c r="H15" s="79"/>
      <c r="I15" s="77"/>
      <c r="J15" s="77"/>
      <c r="K15" s="77"/>
      <c r="L15" s="79"/>
      <c r="M15" s="79"/>
      <c r="N15" s="79"/>
      <c r="O15" s="79"/>
      <c r="P15" s="77"/>
      <c r="Q15" s="77"/>
      <c r="R15" s="55"/>
      <c r="S15" s="204"/>
      <c r="T15" s="194"/>
      <c r="U15" s="194"/>
      <c r="V15" s="194"/>
      <c r="W15" s="194"/>
      <c r="X15" s="194"/>
      <c r="Y15" s="194"/>
      <c r="Z15" s="58"/>
      <c r="AA15" s="58"/>
      <c r="AB15" s="58"/>
      <c r="AC15" s="58"/>
      <c r="AD15" s="58"/>
      <c r="AE15" s="58"/>
      <c r="AF15" s="58"/>
    </row>
    <row r="16" spans="1:32" ht="15.5" x14ac:dyDescent="0.3">
      <c r="A16" s="15"/>
      <c r="B16" s="11"/>
      <c r="C16" s="11"/>
      <c r="D16" s="11"/>
      <c r="E16" s="12"/>
      <c r="F16" s="337" t="s">
        <v>17</v>
      </c>
      <c r="G16" s="339"/>
      <c r="H16" s="79"/>
      <c r="I16" s="176">
        <f>IF($I$10=" &lt;&lt;&lt; Select Index &gt;&gt;&gt;","",IF(ISERROR(VLOOKUP($I$10&amp;$I$12,'Database - FI'!$B:$DC,6,FALSE))=TRUE,"†",IF(ISBLANK((VLOOKUP($I$10&amp;$I$12,'Database - FI'!$B:$DC,6,FALSE))),"",VLOOKUP($I$10&amp;$I$12,'Database - FI'!$B:$DC,6,FALSE))))</f>
        <v>243</v>
      </c>
      <c r="J16" s="77"/>
      <c r="K16" s="191" t="s">
        <v>18</v>
      </c>
      <c r="L16" s="79"/>
      <c r="M16" s="79"/>
      <c r="N16" s="77"/>
      <c r="O16" s="79"/>
      <c r="P16" s="77"/>
      <c r="Q16" s="77"/>
      <c r="R16" s="55"/>
      <c r="S16" s="73"/>
      <c r="T16" s="58"/>
      <c r="U16" s="58"/>
      <c r="V16" s="58"/>
      <c r="W16" s="58"/>
      <c r="X16" s="58"/>
      <c r="Y16" s="193"/>
      <c r="Z16" s="58"/>
      <c r="AA16" s="58"/>
      <c r="AB16" s="58"/>
      <c r="AC16" s="58"/>
      <c r="AD16" s="58"/>
      <c r="AE16" s="58"/>
      <c r="AF16" s="58"/>
    </row>
    <row r="17" spans="1:32" ht="8.25" customHeight="1" x14ac:dyDescent="0.35">
      <c r="A17" s="15"/>
      <c r="B17" s="92"/>
      <c r="C17" s="11"/>
      <c r="D17" s="11"/>
      <c r="E17" s="12"/>
      <c r="F17" s="77"/>
      <c r="G17" s="77"/>
      <c r="H17" s="79"/>
      <c r="I17" s="77"/>
      <c r="J17" s="77"/>
      <c r="K17" s="77"/>
      <c r="L17" s="77"/>
      <c r="M17" s="79"/>
      <c r="N17" s="77"/>
      <c r="O17" s="79"/>
      <c r="P17" s="77"/>
      <c r="Q17" s="77"/>
      <c r="R17" s="55"/>
      <c r="S17" s="15"/>
      <c r="T17" s="73"/>
      <c r="U17" s="73"/>
      <c r="V17" s="15"/>
      <c r="W17" s="15"/>
      <c r="X17" s="15"/>
      <c r="Y17" s="57"/>
      <c r="Z17" s="58"/>
      <c r="AA17" s="58"/>
      <c r="AB17" s="58"/>
      <c r="AC17" s="58"/>
      <c r="AD17" s="58"/>
      <c r="AE17" s="58"/>
      <c r="AF17" s="58"/>
    </row>
    <row r="18" spans="1:32" ht="15.75" customHeight="1" x14ac:dyDescent="0.35">
      <c r="A18" s="15"/>
      <c r="B18" s="92"/>
      <c r="C18" s="350" t="s">
        <v>19</v>
      </c>
      <c r="D18" s="350"/>
      <c r="E18" s="350"/>
      <c r="F18" s="350"/>
      <c r="G18" s="350"/>
      <c r="H18" s="79"/>
      <c r="I18" s="179">
        <f>IF($I$10=" &lt;&lt;&lt; Select Index &gt;&gt;&gt;","",IF(ISERROR(VLOOKUP($I$10&amp;$I$12,'Database - FI'!$B:$DC,8,FALSE))=TRUE,"†",IF(ISBLANK((VLOOKUP($I$10&amp;$I$12,'Database - FI'!$B:$DC,8,FALSE))),"",VLOOKUP($I$10&amp;$I$12,'Database - FI'!$B:$DC,8,FALSE))))</f>
        <v>243</v>
      </c>
      <c r="J18" s="178"/>
      <c r="K18" s="180">
        <f>IF($I$10=" &lt;&lt;&lt; Select Index &gt;&gt;&gt;","",IF(ISERROR(VLOOKUP($I$10&amp;$I$12,'Database - FI'!$B:$DC,10,FALSE))=TRUE,"†",IF(ISBLANK((VLOOKUP($I$10&amp;$I$12,'Database - FI'!$B:$DC,10,FALSE))),"",VLOOKUP($I$10&amp;$I$12,'Database - FI'!$B:$DC,10,FALSE))))</f>
        <v>1</v>
      </c>
      <c r="L18" s="77"/>
      <c r="M18" s="79"/>
      <c r="N18" s="77"/>
      <c r="O18" s="79"/>
      <c r="P18" s="77"/>
      <c r="Q18" s="77"/>
      <c r="R18" s="55"/>
      <c r="S18" s="15"/>
      <c r="T18" s="73"/>
      <c r="U18" s="73"/>
      <c r="V18" s="15"/>
      <c r="W18" s="15"/>
      <c r="X18" s="15"/>
      <c r="Y18" s="57"/>
      <c r="Z18" s="58"/>
      <c r="AA18" s="58"/>
      <c r="AB18" s="58"/>
      <c r="AC18" s="58"/>
      <c r="AD18" s="58"/>
      <c r="AE18" s="58"/>
      <c r="AF18" s="58"/>
    </row>
    <row r="19" spans="1:32" ht="15.75" customHeight="1" x14ac:dyDescent="0.35">
      <c r="A19" s="15"/>
      <c r="B19" s="92"/>
      <c r="C19" s="324" t="s">
        <v>20</v>
      </c>
      <c r="D19" s="324"/>
      <c r="E19" s="324"/>
      <c r="F19" s="324"/>
      <c r="G19" s="324"/>
      <c r="H19" s="79"/>
      <c r="I19" s="176">
        <f>IF($I$10=" &lt;&lt;&lt; Select Index &gt;&gt;&gt;","",IF(ISERROR(VLOOKUP($I$10&amp;$I$12,'Database - FI'!$B:$DC,7,FALSE))=TRUE,"†",IF(ISBLANK((VLOOKUP($I$10&amp;$I$12,'Database - FI'!$B:$DC,7,FALSE))),"",VLOOKUP($I$10&amp;$I$12,'Database - FI'!$B:$DC,7,FALSE))))</f>
        <v>0</v>
      </c>
      <c r="J19" s="77"/>
      <c r="K19" s="177">
        <f>IF($I$10=" &lt;&lt;&lt; Select Index &gt;&gt;&gt;","",IF(ISERROR(VLOOKUP($I$10&amp;$I$12,'Database - FI'!$B:$DC,9,FALSE))=TRUE,"†",IF(ISBLANK((VLOOKUP($I$10&amp;$I$12,'Database - FI'!$B:$DC,9,FALSE))),"",VLOOKUP($I$10&amp;$I$12,'Database - FI'!$B:$DC,9,FALSE))))</f>
        <v>0</v>
      </c>
      <c r="L19" s="77"/>
      <c r="M19" s="79"/>
      <c r="N19" s="77"/>
      <c r="O19" s="79"/>
      <c r="P19" s="77"/>
      <c r="Q19" s="77"/>
      <c r="R19" s="55"/>
      <c r="S19" s="313" t="s">
        <v>21</v>
      </c>
      <c r="T19" s="314"/>
      <c r="U19" s="315"/>
      <c r="V19" s="15"/>
      <c r="W19" s="344" t="str">
        <f>IF($I$10=" &lt;&lt;&lt; Select Index &gt;&gt;&gt;","",IF(ISERROR(VLOOKUP($I$10&amp;$I$12,'Database - FI'!$B:$DG,110,FALSE))=TRUE,"†",IF(ISBLANK((VLOOKUP($I$10&amp;$I$12,'Database - FI'!$B:$DG,110,FALSE))),"",VLOOKUP($I$10&amp;$I$12,'Database - FI'!$B:$DG,110,FALSE))))</f>
        <v>Sustainalytics</v>
      </c>
      <c r="X19" s="345"/>
      <c r="Y19" s="346"/>
      <c r="Z19" s="58"/>
      <c r="AA19" s="58"/>
      <c r="AB19" s="58"/>
      <c r="AC19" s="58"/>
      <c r="AD19" s="58"/>
      <c r="AE19" s="58"/>
      <c r="AF19" s="58"/>
    </row>
    <row r="20" spans="1:32" ht="18" customHeight="1" x14ac:dyDescent="0.35">
      <c r="A20" s="15"/>
      <c r="B20" s="92"/>
      <c r="C20" s="11"/>
      <c r="D20" s="11"/>
      <c r="E20" s="15"/>
      <c r="F20" s="15"/>
      <c r="G20" s="15"/>
      <c r="H20" s="15"/>
      <c r="I20" s="15"/>
      <c r="J20" s="77"/>
      <c r="K20" s="77"/>
      <c r="L20" s="77"/>
      <c r="M20" s="79"/>
      <c r="N20" s="77"/>
      <c r="O20" s="79"/>
      <c r="P20" s="77"/>
      <c r="Q20" s="77"/>
      <c r="R20" s="55"/>
      <c r="S20" s="15"/>
      <c r="T20" s="73"/>
      <c r="U20" s="73"/>
      <c r="V20" s="15"/>
      <c r="W20" s="15"/>
      <c r="X20" s="15"/>
      <c r="Y20" s="57"/>
      <c r="Z20" s="58"/>
      <c r="AA20" s="58"/>
      <c r="AB20" s="58"/>
      <c r="AC20" s="58"/>
      <c r="AD20" s="58"/>
      <c r="AE20" s="58"/>
      <c r="AF20" s="58"/>
    </row>
    <row r="21" spans="1:32" s="67" customFormat="1" ht="18" x14ac:dyDescent="0.35">
      <c r="A21" s="65"/>
      <c r="B21" s="198" t="s">
        <v>22</v>
      </c>
      <c r="C21" s="199"/>
      <c r="D21" s="199"/>
      <c r="E21" s="200"/>
      <c r="F21" s="200"/>
      <c r="G21" s="200"/>
      <c r="H21" s="200"/>
      <c r="I21" s="200"/>
      <c r="J21" s="200"/>
      <c r="K21" s="200"/>
      <c r="L21" s="200"/>
      <c r="M21" s="200"/>
      <c r="N21" s="200"/>
      <c r="O21" s="200"/>
      <c r="P21" s="200"/>
      <c r="Q21" s="199"/>
      <c r="R21" s="200"/>
      <c r="S21" s="200"/>
      <c r="T21" s="200"/>
      <c r="U21" s="200"/>
      <c r="V21" s="200"/>
      <c r="W21" s="200"/>
      <c r="X21" s="200"/>
      <c r="Y21" s="200"/>
      <c r="Z21" s="65"/>
    </row>
    <row r="22" spans="1:32" ht="7.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32" ht="38.25" customHeight="1" x14ac:dyDescent="0.3">
      <c r="A23" s="15"/>
      <c r="B23" s="291" t="s">
        <v>23</v>
      </c>
      <c r="C23" s="291"/>
      <c r="D23" s="291"/>
      <c r="E23" s="268"/>
      <c r="F23" s="343" t="s">
        <v>652</v>
      </c>
      <c r="G23" s="343"/>
      <c r="H23" s="343"/>
      <c r="I23" s="343"/>
      <c r="J23" s="343"/>
      <c r="K23" s="343"/>
      <c r="L23" s="15"/>
      <c r="M23" s="270" t="s">
        <v>24</v>
      </c>
      <c r="N23" s="15"/>
      <c r="O23" s="269" t="s">
        <v>25</v>
      </c>
      <c r="P23" s="15"/>
      <c r="Q23" s="316" t="s">
        <v>26</v>
      </c>
      <c r="R23" s="316"/>
      <c r="S23" s="316"/>
      <c r="T23" s="316"/>
      <c r="U23" s="316"/>
      <c r="V23" s="316"/>
      <c r="W23" s="316"/>
      <c r="X23" s="316"/>
      <c r="Y23" s="316"/>
      <c r="Z23" s="15"/>
    </row>
    <row r="24" spans="1:32" ht="7.5" customHeight="1" x14ac:dyDescent="0.35">
      <c r="A24" s="15"/>
      <c r="B24" s="15"/>
      <c r="C24" s="15"/>
      <c r="D24" s="15"/>
      <c r="E24" s="15"/>
      <c r="F24" s="15"/>
      <c r="G24" s="15"/>
      <c r="H24" s="15"/>
      <c r="I24" s="15"/>
      <c r="J24" s="15"/>
      <c r="K24" s="15"/>
      <c r="L24" s="15"/>
      <c r="M24" s="15"/>
      <c r="N24" s="15"/>
      <c r="O24" s="15"/>
      <c r="P24" s="15"/>
      <c r="Q24" s="15"/>
      <c r="R24" s="15"/>
      <c r="S24" s="92"/>
      <c r="T24" s="92"/>
      <c r="U24" s="92"/>
      <c r="V24" s="15"/>
      <c r="W24" s="15"/>
      <c r="X24" s="15"/>
      <c r="Y24" s="15"/>
      <c r="Z24" s="15"/>
    </row>
    <row r="25" spans="1:32" ht="28.5" customHeight="1" x14ac:dyDescent="0.35">
      <c r="A25" s="15"/>
      <c r="B25" s="323" t="s">
        <v>27</v>
      </c>
      <c r="C25" s="323"/>
      <c r="D25" s="323"/>
      <c r="E25" s="15"/>
      <c r="F25" s="329" t="s">
        <v>28</v>
      </c>
      <c r="G25" s="330"/>
      <c r="H25" s="330"/>
      <c r="I25" s="330"/>
      <c r="J25" s="330"/>
      <c r="K25" s="331"/>
      <c r="L25" s="80"/>
      <c r="M25" s="181">
        <f>IF($I$10=" &lt;&lt;&lt; Select Index &gt;&gt;&gt;","",IF(ISERROR(VLOOKUP($I$10&amp;$I$12,'Database - FI'!$B:$DC,12,FALSE))=TRUE,"†",IF(ISBLANK((VLOOKUP($I$10&amp;$I$12,'Database - FI'!$B:$DC,12,FALSE))),"",VLOOKUP($I$10&amp;$I$12,'Database - FI'!$B:$DC,12,FALSE))))</f>
        <v>29.192244590000001</v>
      </c>
      <c r="N25" s="81"/>
      <c r="O25" s="158" t="s">
        <v>29</v>
      </c>
      <c r="P25" s="15"/>
      <c r="Q25" s="297" t="str">
        <f>IF(W19="MSCI",REF!AR5,REF!AR4)</f>
        <v xml:space="preserve">The ‘Weighted-Average ESG Score’ is an index weighted average of the Sustainalytics corporate and sovereign ESG Risk Scores of index constituents. The lowest score possible (best) is 0. This metric is a consolidated score including any corporate and sovereign bonds. </v>
      </c>
      <c r="R25" s="298"/>
      <c r="S25" s="298"/>
      <c r="T25" s="298"/>
      <c r="U25" s="298"/>
      <c r="V25" s="298"/>
      <c r="W25" s="298"/>
      <c r="X25" s="298"/>
      <c r="Y25" s="299"/>
      <c r="Z25" s="15"/>
    </row>
    <row r="26" spans="1:32" ht="7.5" customHeight="1" x14ac:dyDescent="0.35">
      <c r="A26" s="15"/>
      <c r="B26" s="15"/>
      <c r="C26" s="15"/>
      <c r="D26" s="15"/>
      <c r="E26" s="15"/>
      <c r="F26" s="157"/>
      <c r="G26" s="157"/>
      <c r="H26" s="157"/>
      <c r="I26" s="157"/>
      <c r="J26" s="157"/>
      <c r="K26" s="157"/>
      <c r="L26" s="15"/>
      <c r="M26" s="15"/>
      <c r="N26" s="15"/>
      <c r="O26" s="92"/>
      <c r="P26" s="15"/>
      <c r="Q26" s="15"/>
      <c r="R26" s="15"/>
      <c r="S26" s="15"/>
      <c r="T26" s="15"/>
      <c r="U26" s="15"/>
      <c r="V26" s="15"/>
      <c r="W26" s="15"/>
      <c r="X26" s="15"/>
      <c r="Y26" s="15"/>
      <c r="Z26" s="15"/>
    </row>
    <row r="27" spans="1:32" ht="14.25" customHeight="1" x14ac:dyDescent="0.35">
      <c r="A27" s="15"/>
      <c r="B27" s="15"/>
      <c r="C27" s="15"/>
      <c r="D27" s="15"/>
      <c r="E27" s="15"/>
      <c r="F27" s="157"/>
      <c r="G27" s="157"/>
      <c r="H27" s="15"/>
      <c r="I27" s="290" t="s">
        <v>30</v>
      </c>
      <c r="J27" s="290"/>
      <c r="K27" s="290"/>
      <c r="L27" s="15"/>
      <c r="M27" s="183">
        <f>IF($I$10=" &lt;&lt;&lt; Select Index &gt;&gt;&gt;","",IF(ISERROR(VLOOKUP($I$10&amp;$I$12,'Database - FI'!$B:$DC,14,FALSE))=TRUE,"†",IF(ISBLANK((VLOOKUP($I$10&amp;$I$12,'Database - FI'!$B:$DC,14,FALSE))),"",VLOOKUP($I$10&amp;$I$12,'Database - FI'!$B:$DC,14,FALSE))))</f>
        <v>224</v>
      </c>
      <c r="N27" s="15"/>
      <c r="O27" s="92"/>
      <c r="P27" s="15"/>
      <c r="Q27" s="15"/>
      <c r="R27" s="15"/>
      <c r="S27" s="15"/>
      <c r="T27" s="15"/>
      <c r="U27" s="15"/>
      <c r="V27" s="15"/>
      <c r="W27" s="15"/>
      <c r="X27" s="15"/>
      <c r="Y27" s="15"/>
      <c r="Z27" s="15"/>
    </row>
    <row r="28" spans="1:32" ht="14.25" customHeight="1" x14ac:dyDescent="0.35">
      <c r="A28" s="15"/>
      <c r="B28" s="15"/>
      <c r="C28" s="15"/>
      <c r="D28" s="15"/>
      <c r="E28" s="15"/>
      <c r="F28" s="157"/>
      <c r="G28" s="157"/>
      <c r="H28" s="15"/>
      <c r="I28" s="290" t="s">
        <v>31</v>
      </c>
      <c r="J28" s="290"/>
      <c r="K28" s="290"/>
      <c r="L28" s="15"/>
      <c r="M28" s="184">
        <f>IF($I$10=" &lt;&lt;&lt; Select Index &gt;&gt;&gt;","",IF(ISERROR(VLOOKUP($I$10&amp;$I$12,'Database - FI'!$B:$DC,13,FALSE))=TRUE,"†",IF(ISBLANK((VLOOKUP($I$10&amp;$I$12,'Database - FI'!$B:$DC,13,FALSE))),"",VLOOKUP($I$10&amp;$I$12,'Database - FI'!$B:$DC,13,FALSE))))</f>
        <v>0.85836162599999999</v>
      </c>
      <c r="N28" s="15"/>
      <c r="O28" s="92"/>
      <c r="P28" s="15"/>
      <c r="Q28" s="15"/>
      <c r="R28" s="15"/>
      <c r="S28" s="15"/>
      <c r="T28" s="15"/>
      <c r="U28" s="15"/>
      <c r="V28" s="15"/>
      <c r="W28" s="15"/>
      <c r="X28" s="15"/>
      <c r="Y28" s="15"/>
      <c r="Z28" s="15"/>
    </row>
    <row r="29" spans="1:32" ht="17.25" customHeight="1" x14ac:dyDescent="0.35">
      <c r="A29" s="15"/>
      <c r="B29" s="15"/>
      <c r="C29" s="15"/>
      <c r="D29" s="15"/>
      <c r="E29" s="15"/>
      <c r="F29" s="157"/>
      <c r="G29" s="157"/>
      <c r="H29" s="157"/>
      <c r="I29" s="157"/>
      <c r="J29" s="157"/>
      <c r="K29" s="157"/>
      <c r="L29" s="15"/>
      <c r="M29" s="15"/>
      <c r="N29" s="15"/>
      <c r="O29" s="92"/>
      <c r="P29" s="15"/>
      <c r="Q29" s="15"/>
      <c r="R29" s="15"/>
      <c r="S29" s="15"/>
      <c r="T29" s="15"/>
      <c r="U29" s="15"/>
      <c r="V29" s="15"/>
      <c r="W29" s="15"/>
      <c r="X29" s="15"/>
      <c r="Y29" s="15"/>
      <c r="Z29" s="15"/>
    </row>
    <row r="30" spans="1:32" ht="7.5" customHeight="1" x14ac:dyDescent="0.35">
      <c r="A30" s="15"/>
      <c r="B30" s="15"/>
      <c r="C30" s="15"/>
      <c r="D30" s="15"/>
      <c r="E30" s="15"/>
      <c r="F30" s="157"/>
      <c r="G30" s="157"/>
      <c r="H30" s="157"/>
      <c r="I30" s="157"/>
      <c r="J30" s="157"/>
      <c r="K30" s="157"/>
      <c r="L30" s="15"/>
      <c r="M30" s="15"/>
      <c r="N30" s="15"/>
      <c r="O30" s="92"/>
      <c r="P30" s="15"/>
      <c r="Q30" s="15"/>
      <c r="R30" s="15"/>
      <c r="S30" s="15"/>
      <c r="T30" s="15"/>
      <c r="U30" s="15"/>
      <c r="V30" s="15"/>
      <c r="W30" s="15"/>
      <c r="X30" s="15"/>
      <c r="Y30" s="15"/>
      <c r="Z30" s="15"/>
    </row>
    <row r="31" spans="1:32" ht="27" customHeight="1" x14ac:dyDescent="0.35">
      <c r="A31" s="15"/>
      <c r="B31" s="323" t="s">
        <v>32</v>
      </c>
      <c r="C31" s="323"/>
      <c r="D31" s="323"/>
      <c r="E31" s="15"/>
      <c r="F31" s="294" t="s">
        <v>33</v>
      </c>
      <c r="G31" s="295"/>
      <c r="H31" s="295"/>
      <c r="I31" s="295"/>
      <c r="J31" s="295"/>
      <c r="K31" s="296"/>
      <c r="L31" s="80"/>
      <c r="M31" s="181">
        <f>IF($I$10=" &lt;&lt;&lt; Select Index &gt;&gt;&gt;","",IF(ISERROR(VLOOKUP($I$10&amp;$I$12,'Database - FI'!$B:$DC,15,FALSE))=TRUE,"†",IF(ISBLANK((VLOOKUP($I$10&amp;$I$12,'Database - FI'!$B:$DC,15,FALSE))),"",VLOOKUP($I$10&amp;$I$12,'Database - FI'!$B:$DC,15,FALSE))))</f>
        <v>5.147493538</v>
      </c>
      <c r="N31" s="81"/>
      <c r="O31" s="82" t="s">
        <v>34</v>
      </c>
      <c r="P31" s="15"/>
      <c r="Q31" s="297" t="str">
        <f>IF(W19="MSCI",REF!AS5,REF!AS4)</f>
        <v xml:space="preserve">The ‘Weighted-Average Environmental Score’ is an index weighted average of the Sustainalytics corporate and sovereign Environmental Risk Scores  of index constituents. The lowest score possible (best) is 0. This metric is a consolidated score including any corporate and sovereign bonds. </v>
      </c>
      <c r="R31" s="298"/>
      <c r="S31" s="298"/>
      <c r="T31" s="298"/>
      <c r="U31" s="298"/>
      <c r="V31" s="298"/>
      <c r="W31" s="298"/>
      <c r="X31" s="298"/>
      <c r="Y31" s="299"/>
      <c r="Z31" s="15"/>
    </row>
    <row r="32" spans="1:32" ht="7.5" customHeight="1" x14ac:dyDescent="0.35">
      <c r="A32" s="15"/>
      <c r="B32" s="15"/>
      <c r="C32" s="15"/>
      <c r="D32" s="15"/>
      <c r="E32" s="15"/>
      <c r="F32" s="157"/>
      <c r="G32" s="157"/>
      <c r="H32" s="157"/>
      <c r="I32" s="157"/>
      <c r="J32" s="157"/>
      <c r="K32" s="157"/>
      <c r="L32" s="15"/>
      <c r="M32" s="15"/>
      <c r="N32" s="15"/>
      <c r="O32" s="92"/>
      <c r="P32" s="15"/>
      <c r="Q32" s="15"/>
      <c r="R32" s="15"/>
      <c r="S32" s="15"/>
      <c r="T32" s="15"/>
      <c r="U32" s="15"/>
      <c r="V32" s="15"/>
      <c r="W32" s="15"/>
      <c r="X32" s="15"/>
      <c r="Y32" s="15"/>
      <c r="Z32" s="15"/>
    </row>
    <row r="33" spans="1:27" ht="27" customHeight="1" x14ac:dyDescent="0.35">
      <c r="A33" s="15"/>
      <c r="B33" s="323" t="s">
        <v>35</v>
      </c>
      <c r="C33" s="323"/>
      <c r="D33" s="323"/>
      <c r="E33" s="15"/>
      <c r="F33" s="317" t="s">
        <v>36</v>
      </c>
      <c r="G33" s="318"/>
      <c r="H33" s="318"/>
      <c r="I33" s="318"/>
      <c r="J33" s="318"/>
      <c r="K33" s="319"/>
      <c r="L33" s="80"/>
      <c r="M33" s="181">
        <f>IF($I$10=" &lt;&lt;&lt; Select Index &gt;&gt;&gt;","",IF(ISERROR(VLOOKUP($I$10&amp;$I$12,'Database - FI'!$B:$DC,18,FALSE))=TRUE,"†",IF(ISBLANK((VLOOKUP($I$10&amp;$I$12,'Database - FI'!$B:$DC,18,FALSE))),"",VLOOKUP($I$10&amp;$I$12,'Database - FI'!$B:$DC,18,FALSE))))</f>
        <v>12.986839959999999</v>
      </c>
      <c r="N33" s="81"/>
      <c r="O33" s="159" t="s">
        <v>37</v>
      </c>
      <c r="P33" s="15"/>
      <c r="Q33" s="297" t="str">
        <f>IF(W19="MSCI",REF!AT5,REF!AT4)</f>
        <v xml:space="preserve">The ‘Weighted-Average Social Score’ is an index weighted average of the Sustainalytics corporate and sovereign Social Risk Scores of index constituents. The lowest score possible (best) is 0. This metric is a consolidated score including any corporate and sovereign bonds. </v>
      </c>
      <c r="R33" s="298"/>
      <c r="S33" s="298"/>
      <c r="T33" s="298"/>
      <c r="U33" s="298"/>
      <c r="V33" s="298"/>
      <c r="W33" s="298"/>
      <c r="X33" s="298"/>
      <c r="Y33" s="299"/>
      <c r="Z33" s="15"/>
    </row>
    <row r="34" spans="1:27" ht="7.5" customHeight="1" x14ac:dyDescent="0.35">
      <c r="A34" s="15"/>
      <c r="B34" s="15"/>
      <c r="C34" s="15"/>
      <c r="D34" s="15"/>
      <c r="E34" s="15"/>
      <c r="F34" s="157"/>
      <c r="G34" s="157"/>
      <c r="H34" s="157"/>
      <c r="I34" s="157"/>
      <c r="J34" s="157"/>
      <c r="K34" s="157"/>
      <c r="L34" s="15"/>
      <c r="M34" s="15"/>
      <c r="N34" s="15"/>
      <c r="O34" s="92"/>
      <c r="P34" s="15"/>
      <c r="Q34" s="15"/>
      <c r="R34" s="15"/>
      <c r="S34" s="15"/>
      <c r="T34" s="15"/>
      <c r="U34" s="15"/>
      <c r="V34" s="15"/>
      <c r="W34" s="15"/>
      <c r="X34" s="15"/>
      <c r="Y34" s="15"/>
      <c r="Z34" s="15"/>
    </row>
    <row r="35" spans="1:27" ht="27" customHeight="1" x14ac:dyDescent="0.35">
      <c r="A35" s="15"/>
      <c r="B35" s="323" t="s">
        <v>38</v>
      </c>
      <c r="C35" s="323"/>
      <c r="D35" s="323"/>
      <c r="E35" s="15"/>
      <c r="F35" s="320" t="s">
        <v>39</v>
      </c>
      <c r="G35" s="321"/>
      <c r="H35" s="321"/>
      <c r="I35" s="321"/>
      <c r="J35" s="321"/>
      <c r="K35" s="322"/>
      <c r="L35" s="80"/>
      <c r="M35" s="181">
        <f>IF($I$10=" &lt;&lt;&lt; Select Index &gt;&gt;&gt;","",IF(ISERROR(VLOOKUP($I$10&amp;$I$12,'Database - FI'!$B:$DC,21,FALSE))=TRUE,"†",IF(ISBLANK((VLOOKUP($I$10&amp;$I$12,'Database - FI'!$B:$DC,21,FALSE))),"",VLOOKUP($I$10&amp;$I$12,'Database - FI'!$B:$DC,21,FALSE))))</f>
        <v>12.021270019999999</v>
      </c>
      <c r="N35" s="81"/>
      <c r="O35" s="161" t="s">
        <v>40</v>
      </c>
      <c r="P35" s="15"/>
      <c r="Q35" s="297" t="str">
        <f>IF(W19="MSCI",REF!AU5,REF!AU4)</f>
        <v xml:space="preserve">The ‘Weighted-Average Governance Score’ is an index weighted average of the Sustainalytics corporate and sovereign Governance Risk Scores of index constituents. The lowest score possible (best) is 0. This metric is a consolidated score including any corporate and sovereign bonds. </v>
      </c>
      <c r="R35" s="298"/>
      <c r="S35" s="298"/>
      <c r="T35" s="298"/>
      <c r="U35" s="298"/>
      <c r="V35" s="298"/>
      <c r="W35" s="298"/>
      <c r="X35" s="298"/>
      <c r="Y35" s="299"/>
      <c r="Z35" s="15"/>
    </row>
    <row r="36" spans="1:27" ht="7.5" customHeight="1" x14ac:dyDescent="0.35">
      <c r="A36" s="15"/>
      <c r="B36" s="15"/>
      <c r="C36" s="15"/>
      <c r="D36" s="15"/>
      <c r="E36" s="15"/>
      <c r="F36" s="15"/>
      <c r="G36" s="15"/>
      <c r="H36" s="15"/>
      <c r="I36" s="15"/>
      <c r="J36" s="15"/>
      <c r="K36" s="15"/>
      <c r="L36" s="15"/>
      <c r="M36" s="15"/>
      <c r="N36" s="15"/>
      <c r="O36" s="92"/>
      <c r="P36" s="15"/>
      <c r="Q36" s="15"/>
      <c r="R36" s="15"/>
      <c r="S36" s="15"/>
      <c r="T36" s="15"/>
      <c r="U36" s="15"/>
      <c r="V36" s="15"/>
      <c r="W36" s="15"/>
      <c r="X36" s="15"/>
      <c r="Y36" s="15"/>
      <c r="Z36" s="15"/>
    </row>
    <row r="37" spans="1:27" ht="15" customHeight="1" x14ac:dyDescent="0.35">
      <c r="A37" s="15"/>
      <c r="B37" s="15"/>
      <c r="C37" s="15"/>
      <c r="D37" s="15"/>
      <c r="E37" s="15"/>
      <c r="F37" s="15"/>
      <c r="G37" s="166"/>
      <c r="H37" s="15"/>
      <c r="I37" s="290" t="s">
        <v>30</v>
      </c>
      <c r="J37" s="290"/>
      <c r="K37" s="290"/>
      <c r="L37" s="15"/>
      <c r="M37" s="183">
        <f>IF($I$10=" &lt;&lt;&lt; Select Index &gt;&gt;&gt;","",IF(ISERROR(VLOOKUP($I$10&amp;$I$12,'Database - FI'!$B:$DC,17,FALSE))=TRUE,"†",IF(ISBLANK((VLOOKUP($I$10&amp;$I$12,'Database - FI'!$B:$DC,17,FALSE))),"",VLOOKUP($I$10&amp;$I$12,'Database - FI'!$B:$DC,17,FALSE))))</f>
        <v>172</v>
      </c>
      <c r="N37" s="92"/>
      <c r="O37" s="92"/>
      <c r="P37" s="15"/>
      <c r="Q37" s="15"/>
      <c r="R37" s="15"/>
      <c r="S37" s="15"/>
      <c r="T37" s="15"/>
      <c r="U37" s="15"/>
      <c r="V37" s="15"/>
      <c r="W37" s="15"/>
      <c r="X37" s="15"/>
      <c r="Y37" s="15"/>
      <c r="Z37" s="15"/>
    </row>
    <row r="38" spans="1:27" ht="14.25" customHeight="1" x14ac:dyDescent="0.35">
      <c r="A38" s="15"/>
      <c r="B38" s="15"/>
      <c r="C38" s="15"/>
      <c r="D38" s="15"/>
      <c r="E38" s="15"/>
      <c r="F38" s="15"/>
      <c r="G38" s="15"/>
      <c r="H38" s="15"/>
      <c r="I38" s="290" t="s">
        <v>31</v>
      </c>
      <c r="J38" s="290"/>
      <c r="K38" s="290"/>
      <c r="L38" s="15"/>
      <c r="M38" s="184">
        <f>IF($I$10=" &lt;&lt;&lt; Select Index &gt;&gt;&gt;","",IF(ISERROR(VLOOKUP($I$10&amp;$I$12,'Database - FI'!$B:$DC,16,FALSE))=TRUE,"†",IF(ISBLANK((VLOOKUP($I$10&amp;$I$12,'Database - FI'!$B:$DC,16,FALSE))),"",VLOOKUP($I$10&amp;$I$12,'Database - FI'!$B:$DC,16,FALSE))))</f>
        <v>0.671583292</v>
      </c>
      <c r="N38" s="92"/>
      <c r="O38" s="92"/>
      <c r="P38" s="15"/>
      <c r="Q38" s="15"/>
      <c r="R38" s="15"/>
      <c r="S38" s="15"/>
      <c r="T38" s="15"/>
      <c r="U38" s="15"/>
      <c r="V38" s="15"/>
      <c r="W38" s="15"/>
      <c r="X38" s="15"/>
      <c r="Y38" s="15"/>
      <c r="Z38" s="15"/>
    </row>
    <row r="39" spans="1:27" ht="23.25" customHeight="1" x14ac:dyDescent="0.35">
      <c r="A39" s="15"/>
      <c r="B39" s="15"/>
      <c r="C39" s="15"/>
      <c r="D39" s="15"/>
      <c r="E39" s="15"/>
      <c r="F39" s="15"/>
      <c r="G39" s="15"/>
      <c r="H39" s="15"/>
      <c r="I39" s="188"/>
      <c r="J39" s="188"/>
      <c r="K39" s="188"/>
      <c r="L39" s="15"/>
      <c r="M39" s="189"/>
      <c r="N39" s="15"/>
      <c r="O39" s="92"/>
      <c r="P39" s="15"/>
      <c r="Q39" s="15"/>
      <c r="R39" s="15"/>
      <c r="S39" s="15"/>
      <c r="T39" s="15"/>
      <c r="U39" s="15"/>
      <c r="V39" s="15"/>
      <c r="W39" s="15"/>
      <c r="X39" s="15"/>
      <c r="Y39" s="15"/>
      <c r="Z39" s="15"/>
    </row>
    <row r="40" spans="1:27" s="70" customFormat="1" ht="18.75" customHeight="1" x14ac:dyDescent="0.3">
      <c r="A40" s="69"/>
      <c r="B40" s="201" t="s">
        <v>41</v>
      </c>
      <c r="C40" s="202"/>
      <c r="D40" s="202"/>
      <c r="E40" s="202"/>
      <c r="F40" s="202"/>
      <c r="G40" s="202"/>
      <c r="H40" s="202"/>
      <c r="I40" s="202"/>
      <c r="J40" s="202"/>
      <c r="K40" s="202"/>
      <c r="L40" s="202"/>
      <c r="M40" s="202"/>
      <c r="N40" s="202"/>
      <c r="O40" s="203"/>
      <c r="P40" s="202"/>
      <c r="Q40" s="202"/>
      <c r="R40" s="202"/>
      <c r="S40" s="202"/>
      <c r="T40" s="202"/>
      <c r="U40" s="202"/>
      <c r="V40" s="202"/>
      <c r="W40" s="202"/>
      <c r="X40" s="202"/>
      <c r="Y40" s="202"/>
      <c r="Z40" s="69"/>
      <c r="AA40" s="64"/>
    </row>
    <row r="41" spans="1:27" s="70" customFormat="1" ht="7.5" customHeight="1" x14ac:dyDescent="0.35">
      <c r="A41" s="69"/>
      <c r="B41" s="15"/>
      <c r="C41" s="15"/>
      <c r="D41" s="15"/>
      <c r="E41" s="15"/>
      <c r="F41" s="15"/>
      <c r="G41" s="15"/>
      <c r="H41" s="15"/>
      <c r="I41" s="15"/>
      <c r="J41" s="15"/>
      <c r="K41" s="15"/>
      <c r="L41" s="15"/>
      <c r="M41" s="15"/>
      <c r="N41" s="15"/>
      <c r="O41" s="92"/>
      <c r="P41" s="15"/>
      <c r="Q41" s="15"/>
      <c r="R41" s="15"/>
      <c r="S41" s="15"/>
      <c r="T41" s="15"/>
      <c r="U41" s="15"/>
      <c r="V41" s="15"/>
      <c r="W41" s="15"/>
      <c r="X41" s="15"/>
      <c r="Y41" s="15"/>
      <c r="Z41" s="69"/>
      <c r="AA41" s="64"/>
    </row>
    <row r="42" spans="1:27" s="70" customFormat="1" ht="38.25" customHeight="1" x14ac:dyDescent="0.3">
      <c r="A42" s="69"/>
      <c r="B42" s="291" t="s">
        <v>23</v>
      </c>
      <c r="C42" s="291"/>
      <c r="D42" s="291"/>
      <c r="E42" s="268"/>
      <c r="F42" s="354" t="s">
        <v>652</v>
      </c>
      <c r="G42" s="354"/>
      <c r="H42" s="354"/>
      <c r="I42" s="354"/>
      <c r="J42" s="354"/>
      <c r="K42" s="354"/>
      <c r="L42" s="15"/>
      <c r="M42" s="270" t="s">
        <v>24</v>
      </c>
      <c r="N42" s="15"/>
      <c r="O42" s="271" t="s">
        <v>25</v>
      </c>
      <c r="P42" s="15"/>
      <c r="Q42" s="316" t="s">
        <v>26</v>
      </c>
      <c r="R42" s="316"/>
      <c r="S42" s="316"/>
      <c r="T42" s="316"/>
      <c r="U42" s="316"/>
      <c r="V42" s="316"/>
      <c r="W42" s="316"/>
      <c r="X42" s="316"/>
      <c r="Y42" s="316"/>
      <c r="Z42" s="69"/>
    </row>
    <row r="43" spans="1:27" s="70" customFormat="1" ht="6" customHeight="1" x14ac:dyDescent="0.35">
      <c r="A43" s="69"/>
      <c r="B43" s="15"/>
      <c r="C43" s="15"/>
      <c r="D43" s="15"/>
      <c r="E43" s="15"/>
      <c r="F43" s="15"/>
      <c r="G43" s="15"/>
      <c r="H43" s="15"/>
      <c r="I43" s="15"/>
      <c r="J43" s="15"/>
      <c r="K43" s="15"/>
      <c r="L43" s="15"/>
      <c r="M43" s="15"/>
      <c r="N43" s="15"/>
      <c r="O43" s="92"/>
      <c r="P43" s="15"/>
      <c r="Q43" s="15"/>
      <c r="R43" s="15"/>
      <c r="S43" s="15"/>
      <c r="T43" s="15"/>
      <c r="U43" s="15"/>
      <c r="V43" s="15"/>
      <c r="W43" s="15"/>
      <c r="X43" s="15"/>
      <c r="Y43" s="15"/>
      <c r="Z43" s="69"/>
    </row>
    <row r="44" spans="1:27" s="70" customFormat="1" ht="52.5" customHeight="1" x14ac:dyDescent="0.35">
      <c r="A44" s="69"/>
      <c r="B44" s="323" t="s">
        <v>42</v>
      </c>
      <c r="C44" s="323"/>
      <c r="D44" s="323"/>
      <c r="E44" s="15"/>
      <c r="F44" s="294" t="s">
        <v>43</v>
      </c>
      <c r="G44" s="295"/>
      <c r="H44" s="295"/>
      <c r="I44" s="295"/>
      <c r="J44" s="295"/>
      <c r="K44" s="296"/>
      <c r="L44" s="80"/>
      <c r="M44" s="187">
        <f>IF($I$14="Sovereign Debt","N/A",IF($I$10=" &lt;&lt;&lt; Select Index &gt;&gt;&gt;","",IF(ISERROR(VLOOKUP($I$10&amp;$I$12,'Database - FI'!$B:$DC,63,FALSE))=TRUE,"†",IF(ISBLANK((VLOOKUP($I$10&amp;$I$12,'Database - FI'!$B:$DC,63,FALSE))),"",VLOOKUP($I$10&amp;$I$12,'Database - FI'!$B:$DC,63,FALSE)))))</f>
        <v>0.15531510400000001</v>
      </c>
      <c r="N44" s="81"/>
      <c r="O44" s="82" t="s">
        <v>44</v>
      </c>
      <c r="P44" s="15"/>
      <c r="Q44" s="297" t="s">
        <v>45</v>
      </c>
      <c r="R44" s="298"/>
      <c r="S44" s="298"/>
      <c r="T44" s="298"/>
      <c r="U44" s="298"/>
      <c r="V44" s="298"/>
      <c r="W44" s="298"/>
      <c r="X44" s="298"/>
      <c r="Y44" s="299"/>
      <c r="Z44" s="69"/>
    </row>
    <row r="45" spans="1:27" s="70" customFormat="1" ht="6" customHeight="1" x14ac:dyDescent="0.35">
      <c r="A45" s="69"/>
      <c r="B45" s="15"/>
      <c r="C45" s="15"/>
      <c r="D45" s="15"/>
      <c r="E45" s="15"/>
      <c r="F45" s="15"/>
      <c r="G45" s="15"/>
      <c r="H45" s="15"/>
      <c r="I45" s="15"/>
      <c r="J45" s="15"/>
      <c r="K45" s="15"/>
      <c r="L45" s="15"/>
      <c r="M45" s="15"/>
      <c r="N45" s="15"/>
      <c r="O45" s="92"/>
      <c r="P45" s="15"/>
      <c r="Q45" s="15"/>
      <c r="R45" s="15"/>
      <c r="S45" s="15"/>
      <c r="T45" s="15"/>
      <c r="U45" s="15"/>
      <c r="V45" s="15"/>
      <c r="W45" s="15"/>
      <c r="X45" s="15"/>
      <c r="Y45" s="15"/>
      <c r="Z45" s="69"/>
    </row>
    <row r="46" spans="1:27" s="70" customFormat="1" ht="15" customHeight="1" x14ac:dyDescent="0.35">
      <c r="A46" s="69"/>
      <c r="B46" s="15"/>
      <c r="C46" s="15"/>
      <c r="D46" s="15"/>
      <c r="E46" s="15"/>
      <c r="F46" s="15"/>
      <c r="G46" s="15"/>
      <c r="H46" s="15"/>
      <c r="I46" s="290" t="s">
        <v>30</v>
      </c>
      <c r="J46" s="290"/>
      <c r="K46" s="290"/>
      <c r="L46" s="15"/>
      <c r="M46" s="183">
        <f>IF($I$14="Sovereign Debt","",IF($I$10=" &lt;&lt;&lt; Select Index &gt;&gt;&gt;","",IF(ISERROR(VLOOKUP($I$10&amp;$I$12,'Database - FI'!$B:$DC,65,FALSE))=TRUE,"†",IF(ISBLANK((VLOOKUP($I$10&amp;$I$12,'Database - FI'!$B:$DC,65,FALSE))),"",VLOOKUP($I$10&amp;$I$12,'Database - FI'!$B:$DC,65,FALSE)))))</f>
        <v>243</v>
      </c>
      <c r="N46" s="15"/>
      <c r="O46" s="92"/>
      <c r="P46" s="15"/>
      <c r="Q46" s="15"/>
      <c r="R46" s="15"/>
      <c r="S46" s="15"/>
      <c r="T46" s="15"/>
      <c r="U46" s="15"/>
      <c r="V46" s="15"/>
      <c r="W46" s="15"/>
      <c r="X46" s="15"/>
      <c r="Y46" s="15"/>
      <c r="Z46" s="69"/>
    </row>
    <row r="47" spans="1:27" s="70" customFormat="1" ht="15" customHeight="1" x14ac:dyDescent="0.35">
      <c r="A47" s="69"/>
      <c r="B47" s="15"/>
      <c r="C47" s="15"/>
      <c r="D47" s="15"/>
      <c r="E47" s="15"/>
      <c r="F47" s="15"/>
      <c r="G47" s="15"/>
      <c r="H47" s="15"/>
      <c r="I47" s="290" t="s">
        <v>31</v>
      </c>
      <c r="J47" s="290"/>
      <c r="K47" s="290"/>
      <c r="L47" s="15"/>
      <c r="M47" s="184">
        <f>IF($I$14="Sovereign Debt","",IF($I$10=" &lt;&lt;&lt; Select Index &gt;&gt;&gt;","",IF(ISERROR(VLOOKUP($I$10&amp;$I$12,'Database - FI'!$B:$DC,64,FALSE))=TRUE,"†",IF(ISBLANK((VLOOKUP($I$10&amp;$I$12,'Database - FI'!$B:$DC,64,FALSE))),"",VLOOKUP($I$10&amp;$I$12,'Database - FI'!$B:$DC,64,FALSE)))))</f>
        <v>1</v>
      </c>
      <c r="N47" s="15"/>
      <c r="O47" s="92"/>
      <c r="P47" s="15"/>
      <c r="Q47" s="15"/>
      <c r="R47" s="15"/>
      <c r="S47" s="15"/>
      <c r="T47" s="15"/>
      <c r="U47" s="15"/>
      <c r="V47" s="15"/>
      <c r="W47" s="15"/>
      <c r="X47" s="15"/>
      <c r="Y47" s="15"/>
      <c r="Z47" s="69"/>
    </row>
    <row r="48" spans="1:27" s="70" customFormat="1" ht="17.25" customHeight="1" x14ac:dyDescent="0.35">
      <c r="A48" s="69"/>
      <c r="B48" s="15"/>
      <c r="C48" s="15"/>
      <c r="D48" s="15"/>
      <c r="E48" s="15"/>
      <c r="F48" s="15"/>
      <c r="G48" s="15"/>
      <c r="H48" s="15"/>
      <c r="I48" s="15"/>
      <c r="J48" s="15"/>
      <c r="K48" s="15"/>
      <c r="L48" s="15"/>
      <c r="M48" s="15"/>
      <c r="N48" s="15"/>
      <c r="O48" s="92"/>
      <c r="P48" s="15"/>
      <c r="Q48" s="15"/>
      <c r="R48" s="15"/>
      <c r="S48" s="15"/>
      <c r="T48" s="15"/>
      <c r="U48" s="15"/>
      <c r="V48" s="15"/>
      <c r="W48" s="15"/>
      <c r="X48" s="15"/>
      <c r="Y48" s="15"/>
      <c r="Z48" s="69"/>
    </row>
    <row r="49" spans="1:26" s="70" customFormat="1" ht="36" customHeight="1" x14ac:dyDescent="0.35">
      <c r="A49" s="69"/>
      <c r="B49" s="323" t="s">
        <v>42</v>
      </c>
      <c r="C49" s="323"/>
      <c r="D49" s="323"/>
      <c r="E49" s="15"/>
      <c r="F49" s="294" t="s">
        <v>46</v>
      </c>
      <c r="G49" s="295"/>
      <c r="H49" s="295"/>
      <c r="I49" s="295"/>
      <c r="J49" s="295"/>
      <c r="K49" s="296"/>
      <c r="L49" s="80"/>
      <c r="M49" s="181">
        <f>IF($I$14="Sovereign Debt","N/A",IF($I$10=" &lt;&lt;&lt; Select Index &gt;&gt;&gt;","",IF(ISERROR(VLOOKUP($I$10&amp;$I$12,'Database - FI'!$B:$DC,66,FALSE))=TRUE,"†",IF(ISBLANK((VLOOKUP($I$10&amp;$I$12,'Database - FI'!$B:$DC,66,FALSE))),"",VLOOKUP($I$10&amp;$I$12,'Database - FI'!$B:$DC,66,FALSE)))))</f>
        <v>98.100114289999993</v>
      </c>
      <c r="N49" s="81"/>
      <c r="O49" s="82" t="s">
        <v>47</v>
      </c>
      <c r="P49" s="15"/>
      <c r="Q49" s="297" t="str">
        <f>IF(W19="MSCI",REF!AW5,REF!AW4)</f>
        <v>The metric tons of scope 1 and 2 greenhouse gas emissions (tCO2e) apportioned to the index per EUR 1 million invested using Enterprise Value including Cash (EVIC) as the apportionment factor.</v>
      </c>
      <c r="R49" s="298"/>
      <c r="S49" s="298"/>
      <c r="T49" s="298"/>
      <c r="U49" s="298"/>
      <c r="V49" s="298"/>
      <c r="W49" s="298"/>
      <c r="X49" s="298"/>
      <c r="Y49" s="299"/>
      <c r="Z49" s="69"/>
    </row>
    <row r="50" spans="1:26" s="70" customFormat="1" ht="6" customHeight="1" x14ac:dyDescent="0.35">
      <c r="A50" s="69"/>
      <c r="B50" s="15"/>
      <c r="C50" s="15"/>
      <c r="D50" s="15"/>
      <c r="E50" s="15"/>
      <c r="F50" s="15"/>
      <c r="G50" s="15"/>
      <c r="H50" s="15"/>
      <c r="I50" s="81"/>
      <c r="J50" s="81"/>
      <c r="K50" s="81"/>
      <c r="L50" s="81"/>
      <c r="M50" s="81"/>
      <c r="N50" s="81"/>
      <c r="O50" s="92"/>
      <c r="P50" s="15"/>
      <c r="Q50" s="15"/>
      <c r="R50" s="15"/>
      <c r="S50" s="15"/>
      <c r="T50" s="15"/>
      <c r="U50" s="15"/>
      <c r="V50" s="15"/>
      <c r="W50" s="15"/>
      <c r="X50" s="15"/>
      <c r="Y50" s="15"/>
      <c r="Z50" s="69"/>
    </row>
    <row r="51" spans="1:26" s="70" customFormat="1" ht="17.25" customHeight="1" x14ac:dyDescent="0.35">
      <c r="A51" s="69"/>
      <c r="B51" s="325" t="s">
        <v>42</v>
      </c>
      <c r="C51" s="325"/>
      <c r="D51" s="325"/>
      <c r="E51" s="15"/>
      <c r="F51" s="304" t="s">
        <v>48</v>
      </c>
      <c r="G51" s="305"/>
      <c r="H51" s="305"/>
      <c r="I51" s="305"/>
      <c r="J51" s="305"/>
      <c r="K51" s="306"/>
      <c r="L51" s="81"/>
      <c r="M51" s="187">
        <f>IF($I$14="Sovereign Debt","N/A",IF($I$10=" &lt;&lt;&lt; Select Index &gt;&gt;&gt;","",IF(ISERROR(VLOOKUP($I$10&amp;$I$12,'Database - FI'!$B:$DC,69,FALSE))=TRUE,"†",IF(ISBLANK((VLOOKUP($I$10&amp;$I$12,'Database - FI'!$B:$DC,69,FALSE))),"",VLOOKUP($I$10&amp;$I$12,'Database - FI'!$B:$DC,69,FALSE)))))</f>
        <v>0.18241132500000001</v>
      </c>
      <c r="N51" s="81"/>
      <c r="O51" s="127" t="s">
        <v>49</v>
      </c>
      <c r="P51" s="15"/>
      <c r="Q51" s="297" t="s">
        <v>50</v>
      </c>
      <c r="R51" s="298"/>
      <c r="S51" s="298"/>
      <c r="T51" s="298"/>
      <c r="U51" s="298"/>
      <c r="V51" s="298"/>
      <c r="W51" s="298"/>
      <c r="X51" s="298"/>
      <c r="Y51" s="299"/>
      <c r="Z51" s="69"/>
    </row>
    <row r="52" spans="1:26" s="70" customFormat="1" ht="17.25" customHeight="1" x14ac:dyDescent="0.35">
      <c r="A52" s="69"/>
      <c r="B52" s="326"/>
      <c r="C52" s="326"/>
      <c r="D52" s="326"/>
      <c r="E52" s="15"/>
      <c r="F52" s="307"/>
      <c r="G52" s="308"/>
      <c r="H52" s="308"/>
      <c r="I52" s="308"/>
      <c r="J52" s="308"/>
      <c r="K52" s="309"/>
      <c r="L52" s="81"/>
      <c r="M52" s="187">
        <f>IF($I$14="Sovereign Debt","N/A",IF($I$10=" &lt;&lt;&lt; Select Index &gt;&gt;&gt;","",IF(ISERROR(VLOOKUP($I$10&amp;$I$12,'Database - FI'!$B:$DC,67,FALSE))=TRUE,"†",IF(ISBLANK((VLOOKUP($I$10&amp;$I$12,'Database - FI'!$B:$DC,67,FALSE))),"",VLOOKUP($I$10&amp;$I$12,'Database - FI'!$B:$DC,67,FALSE)-M51))))</f>
        <v>0.48924777899999994</v>
      </c>
      <c r="N52" s="81"/>
      <c r="O52" s="127" t="s">
        <v>51</v>
      </c>
      <c r="P52" s="15"/>
      <c r="Q52" s="297" t="s">
        <v>52</v>
      </c>
      <c r="R52" s="298"/>
      <c r="S52" s="298"/>
      <c r="T52" s="298"/>
      <c r="U52" s="298"/>
      <c r="V52" s="298"/>
      <c r="W52" s="298"/>
      <c r="X52" s="298"/>
      <c r="Y52" s="299"/>
      <c r="Z52" s="69"/>
    </row>
    <row r="53" spans="1:26" s="70" customFormat="1" ht="31.5" customHeight="1" x14ac:dyDescent="0.35">
      <c r="A53" s="69"/>
      <c r="B53" s="327"/>
      <c r="C53" s="327"/>
      <c r="D53" s="327"/>
      <c r="E53" s="15"/>
      <c r="F53" s="310"/>
      <c r="G53" s="311"/>
      <c r="H53" s="311"/>
      <c r="I53" s="311"/>
      <c r="J53" s="311"/>
      <c r="K53" s="312"/>
      <c r="L53" s="81"/>
      <c r="M53" s="187">
        <f>IF($I$14="Sovereign Debt","N/A",IF($I$10=" &lt;&lt;&lt; Select Index &gt;&gt;&gt;","",1-M51-M52))</f>
        <v>0.32834089600000005</v>
      </c>
      <c r="N53" s="81"/>
      <c r="O53" s="190" t="s">
        <v>53</v>
      </c>
      <c r="P53" s="15"/>
      <c r="Q53" s="297" t="s">
        <v>54</v>
      </c>
      <c r="R53" s="298"/>
      <c r="S53" s="298"/>
      <c r="T53" s="298"/>
      <c r="U53" s="298"/>
      <c r="V53" s="298"/>
      <c r="W53" s="298"/>
      <c r="X53" s="298"/>
      <c r="Y53" s="299"/>
      <c r="Z53" s="69"/>
    </row>
    <row r="54" spans="1:26" s="70" customFormat="1" ht="6" customHeight="1" x14ac:dyDescent="0.3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69"/>
    </row>
    <row r="55" spans="1:26" s="70" customFormat="1" ht="15" customHeight="1" x14ac:dyDescent="0.35">
      <c r="A55" s="92"/>
      <c r="B55" s="92"/>
      <c r="C55" s="92"/>
      <c r="D55" s="92"/>
      <c r="E55" s="92"/>
      <c r="F55" s="92"/>
      <c r="G55" s="92"/>
      <c r="H55" s="92"/>
      <c r="I55" s="290" t="s">
        <v>30</v>
      </c>
      <c r="J55" s="290"/>
      <c r="K55" s="290"/>
      <c r="L55" s="15"/>
      <c r="M55" s="183">
        <f>IF($I$14="Sovereign Debt","",IF($I$10=" &lt;&lt;&lt; Select Index &gt;&gt;&gt;","",IF(ISERROR(VLOOKUP($I$10&amp;$I$12,'Database - FI'!$B:$DC,68,FALSE))=TRUE,"†",IF(ISBLANK((VLOOKUP($I$10&amp;$I$12,'Database - FI'!$B:$DC,68,FALSE))),"",VLOOKUP($I$10&amp;$I$12,'Database - FI'!$B:$DC,68,FALSE)))))</f>
        <v>178</v>
      </c>
      <c r="N55" s="92"/>
      <c r="O55" s="92"/>
      <c r="P55" s="92"/>
      <c r="Q55" s="92"/>
      <c r="R55" s="92"/>
      <c r="S55" s="92"/>
      <c r="T55" s="92"/>
      <c r="U55" s="92"/>
      <c r="V55" s="92"/>
      <c r="W55" s="92"/>
      <c r="X55" s="92"/>
      <c r="Y55" s="92"/>
      <c r="Z55" s="69"/>
    </row>
    <row r="56" spans="1:26" s="70" customFormat="1" ht="15" customHeight="1" x14ac:dyDescent="0.35">
      <c r="A56" s="92"/>
      <c r="B56" s="92"/>
      <c r="C56" s="92"/>
      <c r="D56" s="92"/>
      <c r="E56" s="92"/>
      <c r="F56" s="92"/>
      <c r="G56" s="92"/>
      <c r="H56" s="92"/>
      <c r="I56" s="290" t="s">
        <v>31</v>
      </c>
      <c r="J56" s="290"/>
      <c r="K56" s="290"/>
      <c r="L56" s="15"/>
      <c r="M56" s="184">
        <f>IF($I$14="Sovereign Debt","",IF($I$10=" &lt;&lt;&lt; Select Index &gt;&gt;&gt;","",IF(ISERROR(VLOOKUP($I$10&amp;$I$12,'Database - FI'!$B:$DC,67,FALSE))=TRUE,"†",IF(ISBLANK((VLOOKUP($I$10&amp;$I$12,'Database - FI'!$B:$DC,67,FALSE))),"",VLOOKUP($I$10&amp;$I$12,'Database - FI'!$B:$DC,67,FALSE)))))</f>
        <v>0.67165910399999995</v>
      </c>
      <c r="N56" s="92"/>
      <c r="O56" s="92"/>
      <c r="P56" s="92"/>
      <c r="Q56" s="92"/>
      <c r="R56" s="92"/>
      <c r="S56" s="92"/>
      <c r="T56" s="92"/>
      <c r="U56" s="92"/>
      <c r="V56" s="92"/>
      <c r="W56" s="92"/>
      <c r="X56" s="92"/>
      <c r="Y56" s="92"/>
      <c r="Z56" s="69"/>
    </row>
    <row r="57" spans="1:26" s="70" customFormat="1" ht="18" customHeight="1" x14ac:dyDescent="0.35">
      <c r="A57" s="69"/>
      <c r="B57" s="167"/>
      <c r="C57" s="167"/>
      <c r="D57" s="167"/>
      <c r="E57" s="15"/>
      <c r="F57" s="168"/>
      <c r="G57" s="168"/>
      <c r="H57" s="168"/>
      <c r="I57" s="168"/>
      <c r="J57" s="168"/>
      <c r="K57" s="168"/>
      <c r="L57" s="81"/>
      <c r="M57" s="160"/>
      <c r="N57" s="81"/>
      <c r="O57" s="169"/>
      <c r="P57" s="15"/>
      <c r="Q57" s="170"/>
      <c r="R57" s="170"/>
      <c r="S57" s="170"/>
      <c r="T57" s="170"/>
      <c r="U57" s="170"/>
      <c r="V57" s="170"/>
      <c r="W57" s="170"/>
      <c r="X57" s="170"/>
      <c r="Y57" s="170"/>
      <c r="Z57" s="69"/>
    </row>
    <row r="58" spans="1:26" s="70" customFormat="1" ht="36" customHeight="1" x14ac:dyDescent="0.35">
      <c r="A58" s="69"/>
      <c r="B58" s="323" t="s">
        <v>42</v>
      </c>
      <c r="C58" s="323"/>
      <c r="D58" s="323"/>
      <c r="E58" s="15"/>
      <c r="F58" s="294" t="s">
        <v>55</v>
      </c>
      <c r="G58" s="295"/>
      <c r="H58" s="295"/>
      <c r="I58" s="295"/>
      <c r="J58" s="295"/>
      <c r="K58" s="296"/>
      <c r="L58" s="80"/>
      <c r="M58" s="187">
        <f>IF($I$14="Sovereign Debt","N/A",IF($I$10=" &lt;&lt;&lt; Select Index &gt;&gt;&gt;","",IF(ISERROR(VLOOKUP($I$10&amp;$I$12,'Database - FI'!$B:$DC,70,FALSE))=TRUE,"†",IF(ISBLANK((VLOOKUP($I$10&amp;$I$12,'Database - FI'!$B:$DC,70,FALSE))),"",VLOOKUP($I$10&amp;$I$12,'Database - FI'!$B:$DC,70,FALSE)))))</f>
        <v>2.9435262E-2</v>
      </c>
      <c r="N58" s="81"/>
      <c r="O58" s="222" t="s">
        <v>56</v>
      </c>
      <c r="P58" s="15"/>
      <c r="Q58" s="297" t="s">
        <v>57</v>
      </c>
      <c r="R58" s="298"/>
      <c r="S58" s="298"/>
      <c r="T58" s="298"/>
      <c r="U58" s="298"/>
      <c r="V58" s="298"/>
      <c r="W58" s="298"/>
      <c r="X58" s="298"/>
      <c r="Y58" s="299"/>
      <c r="Z58" s="69"/>
    </row>
    <row r="59" spans="1:26" s="70" customFormat="1" ht="6.75" customHeight="1" x14ac:dyDescent="0.35">
      <c r="A59" s="69"/>
      <c r="B59" s="15"/>
      <c r="C59" s="15"/>
      <c r="D59" s="15"/>
      <c r="E59" s="15"/>
      <c r="F59" s="15"/>
      <c r="G59" s="15"/>
      <c r="H59" s="15"/>
      <c r="I59" s="15"/>
      <c r="J59" s="15"/>
      <c r="K59" s="15"/>
      <c r="L59" s="15"/>
      <c r="M59" s="15"/>
      <c r="N59" s="15"/>
      <c r="O59" s="92"/>
      <c r="P59" s="15"/>
      <c r="Q59" s="15"/>
      <c r="R59" s="15"/>
      <c r="S59" s="15"/>
      <c r="T59" s="15"/>
      <c r="U59" s="15"/>
      <c r="V59" s="15"/>
      <c r="W59" s="15"/>
      <c r="X59" s="15"/>
      <c r="Y59" s="15"/>
      <c r="Z59" s="69"/>
    </row>
    <row r="60" spans="1:26" s="70" customFormat="1" ht="15" customHeight="1" x14ac:dyDescent="0.35">
      <c r="A60" s="69"/>
      <c r="B60" s="15"/>
      <c r="C60" s="15"/>
      <c r="D60" s="15"/>
      <c r="E60" s="15"/>
      <c r="F60" s="15"/>
      <c r="G60" s="15"/>
      <c r="H60" s="15"/>
      <c r="I60" s="290" t="s">
        <v>30</v>
      </c>
      <c r="J60" s="290"/>
      <c r="K60" s="290"/>
      <c r="L60" s="15"/>
      <c r="M60" s="183">
        <f>IF($I$14="Sovereign Debt","",IF($I$10=" &lt;&lt;&lt; Select Index &gt;&gt;&gt;","",IF(ISERROR(VLOOKUP($I$10&amp;$I$12,'Database - FI'!$B:$DC,72,FALSE))=TRUE,"†",IF(ISBLANK((VLOOKUP($I$10&amp;$I$12,'Database - FI'!$B:$DC,72,FALSE))),"",VLOOKUP($I$10&amp;$I$12,'Database - FI'!$B:$DC,72,FALSE)))))</f>
        <v>243</v>
      </c>
      <c r="N60" s="15"/>
      <c r="O60" s="92"/>
      <c r="P60" s="15"/>
      <c r="Q60" s="15"/>
      <c r="R60" s="15"/>
      <c r="S60" s="15"/>
      <c r="T60" s="15"/>
      <c r="U60" s="15"/>
      <c r="V60" s="15"/>
      <c r="W60" s="15"/>
      <c r="X60" s="15"/>
      <c r="Y60" s="15"/>
      <c r="Z60" s="69"/>
    </row>
    <row r="61" spans="1:26" s="70" customFormat="1" ht="15" customHeight="1" x14ac:dyDescent="0.35">
      <c r="A61" s="69"/>
      <c r="B61" s="15"/>
      <c r="C61" s="15"/>
      <c r="D61" s="15"/>
      <c r="E61" s="15"/>
      <c r="F61" s="15"/>
      <c r="G61" s="15"/>
      <c r="H61" s="15"/>
      <c r="I61" s="290" t="s">
        <v>31</v>
      </c>
      <c r="J61" s="290"/>
      <c r="K61" s="290"/>
      <c r="L61" s="15"/>
      <c r="M61" s="184">
        <f>IF($I$14="Sovereign Debt","",IF($I$10=" &lt;&lt;&lt; Select Index &gt;&gt;&gt;","",IF(ISERROR(VLOOKUP($I$10&amp;$I$12,'Database - FI'!$B:$DC,71,FALSE))=TRUE,"†",IF(ISBLANK((VLOOKUP($I$10&amp;$I$12,'Database - FI'!$B:$DC,71,FALSE))),"",VLOOKUP($I$10&amp;$I$12,'Database - FI'!$B:$DC,71,FALSE)))))</f>
        <v>1</v>
      </c>
      <c r="N61" s="15"/>
      <c r="O61" s="92"/>
      <c r="P61" s="15"/>
      <c r="Q61" s="15"/>
      <c r="R61" s="15"/>
      <c r="S61" s="15"/>
      <c r="T61" s="15"/>
      <c r="U61" s="15"/>
      <c r="V61" s="15"/>
      <c r="W61" s="15"/>
      <c r="X61" s="15"/>
      <c r="Y61" s="15"/>
      <c r="Z61" s="69"/>
    </row>
    <row r="62" spans="1:26" s="70" customFormat="1" ht="18" customHeight="1" x14ac:dyDescent="0.35">
      <c r="A62" s="69"/>
      <c r="B62" s="15"/>
      <c r="C62" s="15"/>
      <c r="D62" s="15"/>
      <c r="E62" s="15"/>
      <c r="F62" s="15"/>
      <c r="G62" s="15"/>
      <c r="H62" s="15"/>
      <c r="I62" s="188"/>
      <c r="J62" s="188"/>
      <c r="K62" s="188"/>
      <c r="L62" s="15"/>
      <c r="M62" s="184"/>
      <c r="N62" s="15"/>
      <c r="O62" s="92"/>
      <c r="P62" s="15"/>
      <c r="Q62" s="15"/>
      <c r="R62" s="15"/>
      <c r="S62" s="15"/>
      <c r="T62" s="15"/>
      <c r="U62" s="15"/>
      <c r="V62" s="15"/>
      <c r="W62" s="15"/>
      <c r="X62" s="15"/>
      <c r="Y62" s="15"/>
      <c r="Z62" s="69"/>
    </row>
    <row r="63" spans="1:26" s="70" customFormat="1" ht="36" customHeight="1" x14ac:dyDescent="0.35">
      <c r="A63" s="69"/>
      <c r="B63" s="323" t="s">
        <v>42</v>
      </c>
      <c r="C63" s="323"/>
      <c r="D63" s="323"/>
      <c r="E63" s="15"/>
      <c r="F63" s="294" t="s">
        <v>58</v>
      </c>
      <c r="G63" s="295"/>
      <c r="H63" s="295"/>
      <c r="I63" s="295"/>
      <c r="J63" s="295"/>
      <c r="K63" s="296"/>
      <c r="L63" s="80"/>
      <c r="M63" s="187">
        <f>IF($I$14="Sovereign Debt","N/A",IF($I$10=" &lt;&lt;&lt; Select Index &gt;&gt;&gt;","",IF(ISERROR(VLOOKUP($I$10&amp;$I$12,'Database - FI'!$B:$DC,73,FALSE))=TRUE,"†",IF(ISBLANK((VLOOKUP($I$10&amp;$I$12,'Database - FI'!$B:$DC,73,FALSE))),"",VLOOKUP($I$10&amp;$I$12,'Database - FI'!$B:$DC,73,FALSE)))))</f>
        <v>2.2978853E-2</v>
      </c>
      <c r="N63" s="81"/>
      <c r="O63" s="82" t="s">
        <v>59</v>
      </c>
      <c r="P63" s="15"/>
      <c r="Q63" s="297" t="s">
        <v>60</v>
      </c>
      <c r="R63" s="298"/>
      <c r="S63" s="298"/>
      <c r="T63" s="298"/>
      <c r="U63" s="298"/>
      <c r="V63" s="298"/>
      <c r="W63" s="298"/>
      <c r="X63" s="298"/>
      <c r="Y63" s="299"/>
      <c r="Z63" s="69"/>
    </row>
    <row r="64" spans="1:26" s="70" customFormat="1" ht="6" customHeight="1" x14ac:dyDescent="0.35">
      <c r="A64" s="69"/>
      <c r="B64" s="15"/>
      <c r="C64" s="15"/>
      <c r="D64" s="15"/>
      <c r="E64" s="15"/>
      <c r="F64" s="15"/>
      <c r="G64" s="15"/>
      <c r="H64" s="15"/>
      <c r="I64" s="15"/>
      <c r="J64" s="15"/>
      <c r="K64" s="15"/>
      <c r="L64" s="15"/>
      <c r="M64" s="15"/>
      <c r="N64" s="15"/>
      <c r="O64" s="92"/>
      <c r="P64" s="15"/>
      <c r="Q64" s="15"/>
      <c r="R64" s="15"/>
      <c r="S64" s="15"/>
      <c r="T64" s="15"/>
      <c r="U64" s="15"/>
      <c r="V64" s="15"/>
      <c r="W64" s="15"/>
      <c r="X64" s="15"/>
      <c r="Y64" s="15"/>
      <c r="Z64" s="69"/>
    </row>
    <row r="65" spans="1:27" s="70" customFormat="1" ht="15" customHeight="1" x14ac:dyDescent="0.35">
      <c r="A65" s="69"/>
      <c r="B65" s="15"/>
      <c r="C65" s="15"/>
      <c r="D65" s="15"/>
      <c r="E65" s="15"/>
      <c r="F65" s="15"/>
      <c r="G65" s="15"/>
      <c r="H65" s="15"/>
      <c r="I65" s="290" t="s">
        <v>30</v>
      </c>
      <c r="J65" s="290"/>
      <c r="K65" s="290"/>
      <c r="L65" s="15"/>
      <c r="M65" s="183">
        <f>IF($I$14="Sovereign Debt","",IF($I$10=" &lt;&lt;&lt; Select Index &gt;&gt;&gt;","",IF(ISERROR(VLOOKUP($I$10&amp;$I$12,'Database - FI'!$B:$DC,75,FALSE))=TRUE,"†",IF(ISBLANK((VLOOKUP($I$10&amp;$I$12,'Database - FI'!$B:$DC,75,FALSE))),"",VLOOKUP($I$10&amp;$I$12,'Database - FI'!$B:$DC,75,FALSE)))))</f>
        <v>21</v>
      </c>
      <c r="N65" s="15"/>
      <c r="O65" s="92"/>
      <c r="P65" s="15"/>
      <c r="Q65" s="15"/>
      <c r="R65" s="15"/>
      <c r="S65" s="15"/>
      <c r="T65" s="15"/>
      <c r="U65" s="15"/>
      <c r="V65" s="15"/>
      <c r="W65" s="15"/>
      <c r="X65" s="15"/>
      <c r="Y65" s="15"/>
      <c r="Z65" s="69"/>
    </row>
    <row r="66" spans="1:27" s="70" customFormat="1" ht="15" customHeight="1" x14ac:dyDescent="0.35">
      <c r="A66" s="69"/>
      <c r="B66" s="15"/>
      <c r="C66" s="15"/>
      <c r="D66" s="15"/>
      <c r="E66" s="15"/>
      <c r="F66" s="15"/>
      <c r="G66" s="15"/>
      <c r="H66" s="15"/>
      <c r="I66" s="290" t="s">
        <v>31</v>
      </c>
      <c r="J66" s="290"/>
      <c r="K66" s="290"/>
      <c r="L66" s="15"/>
      <c r="M66" s="184">
        <f>IF($I$14="Sovereign Debt","",IF($I$10=" &lt;&lt;&lt; Select Index &gt;&gt;&gt;","",IF(ISERROR(VLOOKUP($I$10&amp;$I$12,'Database - FI'!$B:$DC,74,FALSE))=TRUE,"†",IF(ISBLANK((VLOOKUP($I$10&amp;$I$12,'Database - FI'!$B:$DC,74,FALSE))),"",VLOOKUP($I$10&amp;$I$12,'Database - FI'!$B:$DC,74,FALSE)))))</f>
        <v>2.2978853E-2</v>
      </c>
      <c r="N66" s="15"/>
      <c r="O66" s="92"/>
      <c r="P66" s="15"/>
      <c r="Q66" s="15"/>
      <c r="R66" s="15"/>
      <c r="S66" s="15"/>
      <c r="T66" s="15"/>
      <c r="U66" s="15"/>
      <c r="V66" s="15"/>
      <c r="W66" s="15"/>
      <c r="X66" s="15"/>
      <c r="Y66" s="15"/>
      <c r="Z66" s="69"/>
      <c r="AA66" s="64"/>
    </row>
    <row r="67" spans="1:27" s="70" customFormat="1" ht="18" customHeight="1" x14ac:dyDescent="0.35">
      <c r="A67" s="69"/>
      <c r="B67" s="15"/>
      <c r="C67" s="15"/>
      <c r="D67" s="15"/>
      <c r="E67" s="15"/>
      <c r="F67" s="15"/>
      <c r="G67" s="15"/>
      <c r="H67" s="15"/>
      <c r="I67" s="188"/>
      <c r="J67" s="188"/>
      <c r="K67" s="188"/>
      <c r="L67" s="15"/>
      <c r="M67" s="189"/>
      <c r="N67" s="15"/>
      <c r="O67" s="92"/>
      <c r="P67" s="15"/>
      <c r="Q67" s="15"/>
      <c r="R67" s="15"/>
      <c r="S67" s="15"/>
      <c r="T67" s="15"/>
      <c r="U67" s="15"/>
      <c r="V67" s="15"/>
      <c r="W67" s="15"/>
      <c r="X67" s="15"/>
      <c r="Y67" s="15"/>
      <c r="Z67" s="69"/>
      <c r="AA67" s="64"/>
    </row>
    <row r="68" spans="1:27" s="70" customFormat="1" ht="36" customHeight="1" x14ac:dyDescent="0.35">
      <c r="A68" s="69"/>
      <c r="B68" s="293" t="s">
        <v>61</v>
      </c>
      <c r="C68" s="293"/>
      <c r="D68" s="293"/>
      <c r="E68" s="15"/>
      <c r="F68" s="294" t="s">
        <v>46</v>
      </c>
      <c r="G68" s="295"/>
      <c r="H68" s="295"/>
      <c r="I68" s="295"/>
      <c r="J68" s="295"/>
      <c r="K68" s="296"/>
      <c r="L68" s="80"/>
      <c r="M68" s="181" t="str">
        <f>IF($I$14="Fixed Income","N/A",IF($I$10=" &lt;&lt;&lt; Select Index &gt;&gt;&gt;","",IF(ISERROR(VLOOKUP($I$10&amp;$I$12,'Database - FI'!$B:$DC,42,FALSE))=TRUE,"†",IF(ISBLANK((VLOOKUP($I$10&amp;$I$12,'Database - FI'!$B:$DC,42,FALSE))),"",VLOOKUP($I$10&amp;$I$12,'Database - FI'!$B:$DC,42,FALSE)))))</f>
        <v>N/A</v>
      </c>
      <c r="N68" s="81"/>
      <c r="O68" s="82" t="s">
        <v>47</v>
      </c>
      <c r="P68" s="15"/>
      <c r="Q68" s="297" t="str">
        <f>IF(W19="MSCI",REF!BC5,REF!BC4)</f>
        <v>The metric tons of greenhouse gas emissions (tCO2e) apportioned to the index per EUR 1 million invested using Gross Domestic Product (GDP) as the apportionment factor.</v>
      </c>
      <c r="R68" s="298"/>
      <c r="S68" s="298"/>
      <c r="T68" s="298"/>
      <c r="U68" s="298"/>
      <c r="V68" s="298"/>
      <c r="W68" s="298"/>
      <c r="X68" s="298"/>
      <c r="Y68" s="299"/>
      <c r="Z68" s="69"/>
      <c r="AA68" s="64"/>
    </row>
    <row r="69" spans="1:27" s="70" customFormat="1" ht="6" customHeight="1" x14ac:dyDescent="0.35">
      <c r="A69" s="69"/>
      <c r="B69" s="15"/>
      <c r="C69" s="15"/>
      <c r="D69" s="15"/>
      <c r="E69" s="15"/>
      <c r="F69" s="15"/>
      <c r="G69" s="15"/>
      <c r="H69" s="15"/>
      <c r="I69" s="81"/>
      <c r="J69" s="81"/>
      <c r="K69" s="81"/>
      <c r="L69" s="81"/>
      <c r="M69" s="81"/>
      <c r="N69" s="81"/>
      <c r="O69" s="92"/>
      <c r="P69" s="15"/>
      <c r="Q69" s="15"/>
      <c r="R69" s="15"/>
      <c r="S69" s="15"/>
      <c r="T69" s="15"/>
      <c r="U69" s="15"/>
      <c r="V69" s="15"/>
      <c r="W69" s="15"/>
      <c r="X69" s="15"/>
      <c r="Y69" s="15"/>
      <c r="Z69" s="69"/>
      <c r="AA69" s="64"/>
    </row>
    <row r="70" spans="1:27" s="70" customFormat="1" ht="23.25" customHeight="1" x14ac:dyDescent="0.35">
      <c r="A70" s="69"/>
      <c r="B70" s="303" t="s">
        <v>61</v>
      </c>
      <c r="C70" s="303"/>
      <c r="D70" s="303"/>
      <c r="E70" s="15"/>
      <c r="F70" s="300" t="s">
        <v>48</v>
      </c>
      <c r="G70" s="301"/>
      <c r="H70" s="301"/>
      <c r="I70" s="301"/>
      <c r="J70" s="301"/>
      <c r="K70" s="302"/>
      <c r="L70" s="81"/>
      <c r="M70" s="187" t="str">
        <f>IF($I$14="Fixed Income","N/A",IF($I$10=" &lt;&lt;&lt; Select Index &gt;&gt;&gt;","",0))</f>
        <v>N/A</v>
      </c>
      <c r="N70" s="81"/>
      <c r="O70" s="82" t="s">
        <v>49</v>
      </c>
      <c r="P70" s="15"/>
      <c r="Q70" s="297" t="s">
        <v>62</v>
      </c>
      <c r="R70" s="298"/>
      <c r="S70" s="298"/>
      <c r="T70" s="298"/>
      <c r="U70" s="298"/>
      <c r="V70" s="298"/>
      <c r="W70" s="298"/>
      <c r="X70" s="298"/>
      <c r="Y70" s="299"/>
      <c r="Z70" s="69"/>
      <c r="AA70" s="64"/>
    </row>
    <row r="71" spans="1:27" s="70" customFormat="1" ht="6.75" customHeight="1" x14ac:dyDescent="0.35">
      <c r="A71" s="15"/>
      <c r="B71" s="15"/>
      <c r="C71" s="15"/>
      <c r="D71" s="15"/>
      <c r="E71" s="15"/>
      <c r="F71" s="92"/>
      <c r="G71" s="92"/>
      <c r="H71" s="92"/>
      <c r="I71" s="92"/>
      <c r="J71" s="92"/>
      <c r="K71" s="92"/>
      <c r="L71" s="92"/>
      <c r="M71" s="92"/>
      <c r="N71" s="92"/>
      <c r="O71" s="92"/>
      <c r="P71" s="92"/>
      <c r="Q71" s="92"/>
      <c r="R71" s="92"/>
      <c r="S71" s="92"/>
      <c r="T71" s="92"/>
      <c r="U71" s="92"/>
      <c r="V71" s="92"/>
      <c r="W71" s="92"/>
      <c r="X71" s="92"/>
      <c r="Y71" s="92"/>
      <c r="Z71" s="69"/>
      <c r="AA71" s="64"/>
    </row>
    <row r="72" spans="1:27" s="70" customFormat="1" ht="15" customHeight="1" x14ac:dyDescent="0.35">
      <c r="A72" s="15"/>
      <c r="B72" s="15"/>
      <c r="C72" s="15"/>
      <c r="D72" s="15"/>
      <c r="E72" s="15"/>
      <c r="F72" s="220"/>
      <c r="G72" s="220"/>
      <c r="H72" s="220"/>
      <c r="I72" s="290" t="s">
        <v>30</v>
      </c>
      <c r="J72" s="290"/>
      <c r="K72" s="290"/>
      <c r="L72" s="15"/>
      <c r="M72" s="183" t="str">
        <f>IF($I$14="Fixed Income","",IF($I$10=" &lt;&lt;&lt; Select Index &gt;&gt;&gt;","",IF(ISERROR(VLOOKUP($I$10&amp;$I$12,'Database - FI'!$B:$DC,44,FALSE))=TRUE,"†",IF(ISBLANK((VLOOKUP($I$10&amp;$I$12,'Database - FI'!$B:$DC,44,FALSE))),"",VLOOKUP($I$10&amp;$I$12,'Database - FI'!$B:$DC,44,FALSE)))))</f>
        <v/>
      </c>
      <c r="N72" s="81"/>
      <c r="O72" s="92"/>
      <c r="P72" s="92"/>
      <c r="Q72" s="92"/>
      <c r="R72" s="92"/>
      <c r="S72" s="92"/>
      <c r="T72" s="92"/>
      <c r="U72" s="92"/>
      <c r="V72" s="92"/>
      <c r="W72" s="92"/>
      <c r="X72" s="92"/>
      <c r="Y72" s="92"/>
      <c r="Z72" s="69"/>
      <c r="AA72" s="64"/>
    </row>
    <row r="73" spans="1:27" s="70" customFormat="1" ht="15" customHeight="1" x14ac:dyDescent="0.35">
      <c r="A73" s="69"/>
      <c r="B73" s="167"/>
      <c r="C73" s="167"/>
      <c r="D73" s="167"/>
      <c r="E73" s="15"/>
      <c r="F73" s="168"/>
      <c r="G73" s="168"/>
      <c r="H73" s="168"/>
      <c r="I73" s="290" t="s">
        <v>31</v>
      </c>
      <c r="J73" s="290"/>
      <c r="K73" s="290"/>
      <c r="L73" s="15"/>
      <c r="M73" s="184" t="str">
        <f>IF($I$14="Fixed Income","",IF($I$10=" &lt;&lt;&lt; Select Index &gt;&gt;&gt;","",IF(ISERROR(VLOOKUP($I$10&amp;$I$12,'Database - FI'!$B:$DC,43,FALSE))=TRUE,"†",IF(ISBLANK((VLOOKUP($I$10&amp;$I$12,'Database - FI'!$B:$DC,43,FALSE))),"",VLOOKUP($I$10&amp;$I$12,'Database - FI'!$B:$DC,43,FALSE)))))</f>
        <v/>
      </c>
      <c r="N73" s="81"/>
      <c r="O73" s="92"/>
      <c r="P73" s="92"/>
      <c r="Q73" s="92"/>
      <c r="R73" s="92"/>
      <c r="S73" s="92"/>
      <c r="T73" s="92"/>
      <c r="U73" s="92"/>
      <c r="V73" s="92"/>
      <c r="W73" s="92"/>
      <c r="X73" s="92"/>
      <c r="Y73" s="92"/>
      <c r="Z73" s="69"/>
      <c r="AA73" s="64"/>
    </row>
    <row r="74" spans="1:27" s="70" customFormat="1" ht="12" customHeight="1" x14ac:dyDescent="0.35">
      <c r="A74" s="69"/>
      <c r="B74" s="167"/>
      <c r="C74" s="167"/>
      <c r="D74" s="167"/>
      <c r="E74" s="15"/>
      <c r="F74" s="168"/>
      <c r="G74" s="168"/>
      <c r="H74" s="168"/>
      <c r="I74" s="188"/>
      <c r="J74" s="188"/>
      <c r="K74" s="188"/>
      <c r="L74" s="15"/>
      <c r="M74" s="189"/>
      <c r="N74" s="81"/>
      <c r="O74" s="92"/>
      <c r="P74" s="92"/>
      <c r="Q74" s="92"/>
      <c r="R74" s="92"/>
      <c r="S74" s="92"/>
      <c r="T74" s="92"/>
      <c r="U74" s="92"/>
      <c r="V74" s="92"/>
      <c r="W74" s="92"/>
      <c r="X74" s="92"/>
      <c r="Y74" s="92"/>
      <c r="Z74" s="69"/>
      <c r="AA74" s="64"/>
    </row>
    <row r="75" spans="1:27" s="70" customFormat="1" ht="15" customHeight="1" x14ac:dyDescent="0.35">
      <c r="A75" s="69"/>
      <c r="B75" s="167"/>
      <c r="C75" s="167"/>
      <c r="D75" s="167"/>
      <c r="E75" s="15"/>
      <c r="F75" s="168"/>
      <c r="G75" s="168"/>
      <c r="H75" s="168"/>
      <c r="I75" s="188"/>
      <c r="J75" s="188"/>
      <c r="K75" s="188"/>
      <c r="L75" s="15"/>
      <c r="M75" s="189"/>
      <c r="N75" s="81"/>
      <c r="O75" s="92"/>
      <c r="P75" s="92"/>
      <c r="Q75" s="92"/>
      <c r="R75" s="92"/>
      <c r="S75" s="92"/>
      <c r="T75" s="92"/>
      <c r="U75" s="92"/>
      <c r="V75" s="92"/>
      <c r="W75" s="92"/>
      <c r="X75" s="92"/>
      <c r="Y75" s="92"/>
      <c r="Z75" s="69"/>
      <c r="AA75" s="64"/>
    </row>
    <row r="76" spans="1:27" s="70" customFormat="1" ht="15.75" customHeight="1" x14ac:dyDescent="0.35">
      <c r="A76" s="69"/>
      <c r="B76" s="167"/>
      <c r="C76" s="167"/>
      <c r="D76" s="167"/>
      <c r="E76" s="15"/>
      <c r="F76" s="168"/>
      <c r="G76" s="168"/>
      <c r="H76" s="168"/>
      <c r="I76" s="290"/>
      <c r="J76" s="290"/>
      <c r="K76" s="290"/>
      <c r="L76" s="15"/>
      <c r="M76" s="221"/>
      <c r="N76" s="81"/>
      <c r="O76" s="92"/>
      <c r="P76" s="92"/>
      <c r="Q76" s="92"/>
      <c r="R76" s="92"/>
      <c r="S76" s="92"/>
      <c r="T76" s="92"/>
      <c r="U76" s="92"/>
      <c r="V76" s="92"/>
      <c r="W76" s="92"/>
      <c r="X76" s="92"/>
      <c r="Y76" s="92"/>
      <c r="Z76" s="69"/>
      <c r="AA76" s="64"/>
    </row>
    <row r="77" spans="1:27" ht="13.5" customHeight="1" x14ac:dyDescent="0.3">
      <c r="A77" s="15"/>
      <c r="B77" s="292" t="s">
        <v>63</v>
      </c>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15"/>
    </row>
    <row r="78" spans="1:27" x14ac:dyDescent="0.3">
      <c r="A78" s="15"/>
      <c r="B78" s="53" t="s">
        <v>64</v>
      </c>
      <c r="C78" s="8"/>
      <c r="D78" s="8"/>
      <c r="E78" s="8"/>
      <c r="F78" s="8"/>
      <c r="G78" s="8"/>
      <c r="H78" s="8"/>
      <c r="I78" s="8"/>
      <c r="J78" s="8"/>
      <c r="K78" s="8"/>
      <c r="L78" s="8"/>
      <c r="M78" s="8"/>
      <c r="N78" s="8"/>
      <c r="O78" s="8"/>
      <c r="P78" s="8"/>
      <c r="Q78" s="8"/>
      <c r="R78" s="8"/>
      <c r="S78" s="8"/>
      <c r="T78" s="8"/>
      <c r="U78" s="8"/>
      <c r="V78" s="8"/>
      <c r="W78" s="8"/>
      <c r="X78" s="8"/>
      <c r="Y78" s="8"/>
      <c r="Z78" s="15"/>
    </row>
    <row r="79" spans="1:27" x14ac:dyDescent="0.3">
      <c r="A79" s="15"/>
      <c r="B79" s="53"/>
      <c r="C79" s="8"/>
      <c r="D79" s="8"/>
      <c r="E79" s="8"/>
      <c r="F79" s="8"/>
      <c r="G79" s="8"/>
      <c r="H79" s="8"/>
      <c r="I79" s="8"/>
      <c r="J79" s="8"/>
      <c r="K79" s="8"/>
      <c r="L79" s="8"/>
      <c r="M79" s="8"/>
      <c r="N79" s="8"/>
      <c r="O79" s="8"/>
      <c r="P79" s="8"/>
      <c r="Q79" s="8"/>
      <c r="R79" s="8"/>
      <c r="S79" s="8"/>
      <c r="T79" s="8"/>
      <c r="U79" s="8"/>
      <c r="V79" s="8"/>
      <c r="W79" s="8"/>
      <c r="X79" s="8"/>
      <c r="Y79" s="8"/>
      <c r="Z79" s="15"/>
    </row>
    <row r="80" spans="1:27" ht="14.25" customHeight="1" x14ac:dyDescent="0.35">
      <c r="A80" s="15"/>
      <c r="B80" s="53"/>
      <c r="C80" s="9"/>
      <c r="D80" s="92"/>
      <c r="E80" s="9"/>
      <c r="F80" s="9"/>
      <c r="G80" s="9"/>
      <c r="H80" s="9"/>
      <c r="I80" s="9"/>
      <c r="J80" s="9"/>
      <c r="K80" s="9"/>
      <c r="L80" s="9"/>
      <c r="M80" s="9"/>
      <c r="N80" s="9"/>
      <c r="O80" s="9"/>
      <c r="P80" s="9"/>
      <c r="Q80" s="9"/>
      <c r="R80" s="9"/>
      <c r="S80" s="9"/>
      <c r="T80" s="9"/>
      <c r="U80" s="9"/>
      <c r="V80" s="9"/>
      <c r="W80" s="9"/>
      <c r="X80" s="9"/>
      <c r="Y80" s="9"/>
      <c r="Z80" s="15"/>
    </row>
    <row r="81" spans="9:11" ht="14.5" x14ac:dyDescent="0.35">
      <c r="I81"/>
    </row>
    <row r="82" spans="9:11" ht="14.5" x14ac:dyDescent="0.35">
      <c r="I82"/>
    </row>
    <row r="83" spans="9:11" ht="14.5" x14ac:dyDescent="0.35">
      <c r="I83"/>
      <c r="K83" s="171"/>
    </row>
    <row r="84" spans="9:11" ht="14.5" x14ac:dyDescent="0.35">
      <c r="I84"/>
      <c r="K84" s="171"/>
    </row>
    <row r="114" spans="15:15" ht="14.5" x14ac:dyDescent="0.35">
      <c r="O114"/>
    </row>
    <row r="115" spans="15:15" ht="14.5" x14ac:dyDescent="0.35">
      <c r="O115"/>
    </row>
    <row r="116" spans="15:15" ht="14.5" x14ac:dyDescent="0.35">
      <c r="O116"/>
    </row>
    <row r="117" spans="15:15" ht="14.5" x14ac:dyDescent="0.35">
      <c r="O117"/>
    </row>
    <row r="118" spans="15:15" ht="14.5" x14ac:dyDescent="0.35">
      <c r="O118"/>
    </row>
    <row r="119" spans="15:15" ht="14.5" x14ac:dyDescent="0.35">
      <c r="O119"/>
    </row>
    <row r="120" spans="15:15" ht="14.5" x14ac:dyDescent="0.35">
      <c r="O120"/>
    </row>
    <row r="121" spans="15:15" ht="14.5" x14ac:dyDescent="0.35">
      <c r="O121"/>
    </row>
    <row r="122" spans="15:15" ht="14.5" x14ac:dyDescent="0.35">
      <c r="O122"/>
    </row>
    <row r="123" spans="15:15" ht="14.5" x14ac:dyDescent="0.35">
      <c r="O123"/>
    </row>
    <row r="124" spans="15:15" ht="14.5" x14ac:dyDescent="0.35">
      <c r="O124"/>
    </row>
    <row r="125" spans="15:15" ht="14.5" x14ac:dyDescent="0.35">
      <c r="O125"/>
    </row>
    <row r="126" spans="15:15" ht="14.5" x14ac:dyDescent="0.35">
      <c r="O126"/>
    </row>
    <row r="127" spans="15:15" ht="14.5" x14ac:dyDescent="0.35">
      <c r="O127"/>
    </row>
    <row r="128" spans="15:15" ht="14.5" x14ac:dyDescent="0.35">
      <c r="O128"/>
    </row>
    <row r="129" spans="15:15" ht="14.5" x14ac:dyDescent="0.35">
      <c r="O129"/>
    </row>
    <row r="130" spans="15:15" ht="14.5" x14ac:dyDescent="0.35">
      <c r="O130"/>
    </row>
    <row r="131" spans="15:15" ht="14.5" x14ac:dyDescent="0.35">
      <c r="O131"/>
    </row>
    <row r="132" spans="15:15" ht="14.5" x14ac:dyDescent="0.35">
      <c r="O132"/>
    </row>
    <row r="133" spans="15:15" ht="14.5" x14ac:dyDescent="0.35">
      <c r="O133"/>
    </row>
    <row r="134" spans="15:15" ht="14.5" x14ac:dyDescent="0.35">
      <c r="O134"/>
    </row>
    <row r="135" spans="15:15" ht="14.5" x14ac:dyDescent="0.35">
      <c r="O135"/>
    </row>
    <row r="136" spans="15:15" ht="14.5" x14ac:dyDescent="0.35">
      <c r="O136"/>
    </row>
    <row r="137" spans="15:15" ht="14.5" x14ac:dyDescent="0.35">
      <c r="O137"/>
    </row>
    <row r="138" spans="15:15" ht="14.5" x14ac:dyDescent="0.35">
      <c r="O138"/>
    </row>
    <row r="139" spans="15:15" ht="14.5" x14ac:dyDescent="0.35">
      <c r="O139"/>
    </row>
    <row r="140" spans="15:15" ht="14.5" x14ac:dyDescent="0.35">
      <c r="O140"/>
    </row>
    <row r="141" spans="15:15" ht="14.5" x14ac:dyDescent="0.35">
      <c r="O141"/>
    </row>
    <row r="142" spans="15:15" ht="14.5" x14ac:dyDescent="0.35">
      <c r="O142"/>
    </row>
    <row r="143" spans="15:15" ht="14.5" x14ac:dyDescent="0.35">
      <c r="O143"/>
    </row>
    <row r="144" spans="15:15" ht="14.5" x14ac:dyDescent="0.35">
      <c r="O144"/>
    </row>
    <row r="145" spans="15:15" ht="14.5" x14ac:dyDescent="0.35">
      <c r="O145"/>
    </row>
    <row r="146" spans="15:15" ht="14.5" x14ac:dyDescent="0.35">
      <c r="O146"/>
    </row>
    <row r="147" spans="15:15" ht="14.5" x14ac:dyDescent="0.35">
      <c r="O147"/>
    </row>
    <row r="148" spans="15:15" ht="14.5" x14ac:dyDescent="0.35">
      <c r="O148"/>
    </row>
    <row r="149" spans="15:15" ht="14.5" x14ac:dyDescent="0.35">
      <c r="O149"/>
    </row>
    <row r="150" spans="15:15" ht="14.5" x14ac:dyDescent="0.35">
      <c r="O150"/>
    </row>
    <row r="151" spans="15:15" ht="14.5" x14ac:dyDescent="0.35">
      <c r="O151"/>
    </row>
    <row r="152" spans="15:15" ht="14.5" x14ac:dyDescent="0.35">
      <c r="O152"/>
    </row>
    <row r="153" spans="15:15" ht="14.5" x14ac:dyDescent="0.35">
      <c r="O153"/>
    </row>
    <row r="154" spans="15:15" ht="14.5" x14ac:dyDescent="0.35">
      <c r="O154"/>
    </row>
    <row r="155" spans="15:15" ht="14.5" x14ac:dyDescent="0.35">
      <c r="O155"/>
    </row>
    <row r="156" spans="15:15" ht="14.5" x14ac:dyDescent="0.35">
      <c r="O156"/>
    </row>
    <row r="157" spans="15:15" ht="14.5" x14ac:dyDescent="0.35">
      <c r="O157"/>
    </row>
    <row r="158" spans="15:15" ht="14.5" x14ac:dyDescent="0.35">
      <c r="O158"/>
    </row>
    <row r="159" spans="15:15" ht="14.5" x14ac:dyDescent="0.35">
      <c r="O159"/>
    </row>
    <row r="160" spans="15:15" ht="14.5" x14ac:dyDescent="0.35">
      <c r="O160"/>
    </row>
    <row r="161" spans="15:15" ht="14.5" x14ac:dyDescent="0.35">
      <c r="O161"/>
    </row>
    <row r="162" spans="15:15" ht="14.5" x14ac:dyDescent="0.35">
      <c r="O162"/>
    </row>
    <row r="163" spans="15:15" ht="14.5" x14ac:dyDescent="0.35">
      <c r="O163"/>
    </row>
    <row r="164" spans="15:15" ht="14.5" x14ac:dyDescent="0.35">
      <c r="O164"/>
    </row>
    <row r="165" spans="15:15" ht="14.5" x14ac:dyDescent="0.35">
      <c r="O165"/>
    </row>
    <row r="166" spans="15:15" ht="14.5" x14ac:dyDescent="0.35">
      <c r="O166"/>
    </row>
    <row r="167" spans="15:15" ht="14.5" x14ac:dyDescent="0.35">
      <c r="O167"/>
    </row>
    <row r="168" spans="15:15" ht="14.5" x14ac:dyDescent="0.35">
      <c r="O168"/>
    </row>
    <row r="169" spans="15:15" ht="14.5" x14ac:dyDescent="0.35">
      <c r="O169"/>
    </row>
    <row r="170" spans="15:15" ht="14.5" x14ac:dyDescent="0.35">
      <c r="O170"/>
    </row>
    <row r="171" spans="15:15" ht="14.5" x14ac:dyDescent="0.35">
      <c r="O171"/>
    </row>
    <row r="172" spans="15:15" ht="14.5" x14ac:dyDescent="0.35">
      <c r="O172"/>
    </row>
    <row r="173" spans="15:15" ht="14.5" x14ac:dyDescent="0.35">
      <c r="O173"/>
    </row>
    <row r="174" spans="15:15" ht="14.5" x14ac:dyDescent="0.35">
      <c r="O174"/>
    </row>
    <row r="175" spans="15:15" ht="14.5" x14ac:dyDescent="0.35">
      <c r="O175"/>
    </row>
    <row r="176" spans="15:15" ht="14.5" x14ac:dyDescent="0.35">
      <c r="O176"/>
    </row>
    <row r="177" spans="15:15" ht="14.5" x14ac:dyDescent="0.35">
      <c r="O177"/>
    </row>
    <row r="178" spans="15:15" ht="14.5" x14ac:dyDescent="0.35">
      <c r="O178"/>
    </row>
    <row r="179" spans="15:15" ht="14.5" x14ac:dyDescent="0.35">
      <c r="O179"/>
    </row>
    <row r="180" spans="15:15" ht="14.5" x14ac:dyDescent="0.35">
      <c r="O180"/>
    </row>
    <row r="181" spans="15:15" ht="14.5" x14ac:dyDescent="0.35">
      <c r="O181"/>
    </row>
    <row r="182" spans="15:15" ht="14.5" x14ac:dyDescent="0.35">
      <c r="O182"/>
    </row>
    <row r="183" spans="15:15" ht="14.5" x14ac:dyDescent="0.35">
      <c r="O183"/>
    </row>
    <row r="184" spans="15:15" ht="14.5" x14ac:dyDescent="0.35">
      <c r="O184"/>
    </row>
    <row r="185" spans="15:15" ht="14.5" x14ac:dyDescent="0.35">
      <c r="O185"/>
    </row>
    <row r="186" spans="15:15" ht="14.5" x14ac:dyDescent="0.35">
      <c r="O186"/>
    </row>
    <row r="187" spans="15:15" ht="14.5" x14ac:dyDescent="0.35">
      <c r="O187"/>
    </row>
    <row r="188" spans="15:15" ht="14.5" x14ac:dyDescent="0.35">
      <c r="O188"/>
    </row>
    <row r="189" spans="15:15" ht="14.5" x14ac:dyDescent="0.35">
      <c r="O189"/>
    </row>
    <row r="190" spans="15:15" ht="14.5" x14ac:dyDescent="0.35">
      <c r="O190"/>
    </row>
    <row r="191" spans="15:15" ht="14.5" x14ac:dyDescent="0.35">
      <c r="O191"/>
    </row>
    <row r="192" spans="15:15" ht="14.5" x14ac:dyDescent="0.35">
      <c r="O192"/>
    </row>
    <row r="193" spans="15:15" ht="14.5" x14ac:dyDescent="0.35">
      <c r="O193"/>
    </row>
    <row r="194" spans="15:15" ht="14.5" x14ac:dyDescent="0.35">
      <c r="O194"/>
    </row>
    <row r="195" spans="15:15" ht="14.5" x14ac:dyDescent="0.35">
      <c r="O195"/>
    </row>
    <row r="196" spans="15:15" ht="14.5" x14ac:dyDescent="0.35">
      <c r="O196"/>
    </row>
    <row r="197" spans="15:15" ht="14.5" x14ac:dyDescent="0.35">
      <c r="O197"/>
    </row>
    <row r="198" spans="15:15" ht="14.5" x14ac:dyDescent="0.35">
      <c r="O198"/>
    </row>
    <row r="199" spans="15:15" ht="14.5" x14ac:dyDescent="0.35">
      <c r="O199"/>
    </row>
  </sheetData>
  <sheetProtection algorithmName="SHA-512" hashValue="8bLwEDWDMc4fSlaLWOHie6vKoPxYN5CDnjMDWNOKyZhNl9W/U9IgWA4rsl8lPfryKqn1hwPtM3t45EMQkGvUKw==" saltValue="wNYQV/KB05SMC3WRjRmkbg==" spinCount="100000" sheet="1" objects="1" scenarios="1"/>
  <mergeCells count="70">
    <mergeCell ref="I10:O10"/>
    <mergeCell ref="F12:G12"/>
    <mergeCell ref="B23:D23"/>
    <mergeCell ref="I65:K65"/>
    <mergeCell ref="I66:K66"/>
    <mergeCell ref="C18:G18"/>
    <mergeCell ref="F16:G16"/>
    <mergeCell ref="I14:K14"/>
    <mergeCell ref="F42:K42"/>
    <mergeCell ref="I37:K37"/>
    <mergeCell ref="B44:D44"/>
    <mergeCell ref="F44:K44"/>
    <mergeCell ref="B49:D49"/>
    <mergeCell ref="F49:K49"/>
    <mergeCell ref="I46:K46"/>
    <mergeCell ref="I47:K47"/>
    <mergeCell ref="B7:Y7"/>
    <mergeCell ref="F25:K25"/>
    <mergeCell ref="F31:K31"/>
    <mergeCell ref="I27:K27"/>
    <mergeCell ref="I28:K28"/>
    <mergeCell ref="F14:G14"/>
    <mergeCell ref="B25:D25"/>
    <mergeCell ref="Q25:Y25"/>
    <mergeCell ref="Q23:Y23"/>
    <mergeCell ref="B31:D31"/>
    <mergeCell ref="Q31:Y31"/>
    <mergeCell ref="B8:G8"/>
    <mergeCell ref="B10:G10"/>
    <mergeCell ref="I8:O8"/>
    <mergeCell ref="F23:K23"/>
    <mergeCell ref="W19:Y19"/>
    <mergeCell ref="B63:D63"/>
    <mergeCell ref="F63:K63"/>
    <mergeCell ref="B58:D58"/>
    <mergeCell ref="F58:K58"/>
    <mergeCell ref="Q58:Y58"/>
    <mergeCell ref="I60:K60"/>
    <mergeCell ref="B51:D53"/>
    <mergeCell ref="Q53:Y53"/>
    <mergeCell ref="I55:K55"/>
    <mergeCell ref="I56:K56"/>
    <mergeCell ref="I61:K61"/>
    <mergeCell ref="F33:K33"/>
    <mergeCell ref="F35:K35"/>
    <mergeCell ref="B33:D33"/>
    <mergeCell ref="B35:D35"/>
    <mergeCell ref="C19:G19"/>
    <mergeCell ref="S19:U19"/>
    <mergeCell ref="Q42:Y42"/>
    <mergeCell ref="Q44:Y44"/>
    <mergeCell ref="Q49:Y49"/>
    <mergeCell ref="Q33:Y33"/>
    <mergeCell ref="Q35:Y35"/>
    <mergeCell ref="I38:K38"/>
    <mergeCell ref="B42:D42"/>
    <mergeCell ref="B77:Y77"/>
    <mergeCell ref="B68:D68"/>
    <mergeCell ref="F68:K68"/>
    <mergeCell ref="Q68:Y68"/>
    <mergeCell ref="Q70:Y70"/>
    <mergeCell ref="I76:K76"/>
    <mergeCell ref="F70:K70"/>
    <mergeCell ref="I72:K72"/>
    <mergeCell ref="I73:K73"/>
    <mergeCell ref="B70:D70"/>
    <mergeCell ref="Q63:Y63"/>
    <mergeCell ref="Q51:Y51"/>
    <mergeCell ref="Q52:Y52"/>
    <mergeCell ref="F51:K53"/>
  </mergeCells>
  <conditionalFormatting sqref="B25">
    <cfRule type="cellIs" dxfId="70" priority="56" operator="equal">
      <formula>"***"</formula>
    </cfRule>
  </conditionalFormatting>
  <conditionalFormatting sqref="B31">
    <cfRule type="cellIs" dxfId="69" priority="51" operator="equal">
      <formula>"***"</formula>
    </cfRule>
  </conditionalFormatting>
  <conditionalFormatting sqref="B33">
    <cfRule type="cellIs" dxfId="68" priority="49" operator="equal">
      <formula>"***"</formula>
    </cfRule>
  </conditionalFormatting>
  <conditionalFormatting sqref="B35">
    <cfRule type="cellIs" dxfId="67" priority="47" operator="equal">
      <formula>"***"</formula>
    </cfRule>
  </conditionalFormatting>
  <conditionalFormatting sqref="B44">
    <cfRule type="cellIs" dxfId="66" priority="42" operator="equal">
      <formula>"***"</formula>
    </cfRule>
  </conditionalFormatting>
  <conditionalFormatting sqref="B49">
    <cfRule type="cellIs" dxfId="65" priority="11" operator="equal">
      <formula>"***"</formula>
    </cfRule>
  </conditionalFormatting>
  <conditionalFormatting sqref="B51">
    <cfRule type="cellIs" dxfId="64" priority="38" operator="equal">
      <formula>"***"</formula>
    </cfRule>
  </conditionalFormatting>
  <conditionalFormatting sqref="B58">
    <cfRule type="cellIs" dxfId="63" priority="10" operator="equal">
      <formula>"***"</formula>
    </cfRule>
  </conditionalFormatting>
  <conditionalFormatting sqref="B63">
    <cfRule type="cellIs" dxfId="62" priority="9" operator="equal">
      <formula>"***"</formula>
    </cfRule>
  </conditionalFormatting>
  <conditionalFormatting sqref="B68">
    <cfRule type="cellIs" dxfId="61" priority="5" operator="equal">
      <formula>"***"</formula>
    </cfRule>
  </conditionalFormatting>
  <conditionalFormatting sqref="B70">
    <cfRule type="cellIs" dxfId="60" priority="1" operator="equal">
      <formula>"***"</formula>
    </cfRule>
  </conditionalFormatting>
  <conditionalFormatting sqref="M25">
    <cfRule type="cellIs" dxfId="59" priority="70" operator="equal">
      <formula>"***"</formula>
    </cfRule>
  </conditionalFormatting>
  <conditionalFormatting sqref="M27:M28">
    <cfRule type="cellIs" dxfId="58" priority="37" operator="equal">
      <formula>"***"</formula>
    </cfRule>
  </conditionalFormatting>
  <conditionalFormatting sqref="M31">
    <cfRule type="cellIs" dxfId="57" priority="36" operator="equal">
      <formula>"***"</formula>
    </cfRule>
  </conditionalFormatting>
  <conditionalFormatting sqref="M33">
    <cfRule type="cellIs" dxfId="56" priority="35" operator="equal">
      <formula>"***"</formula>
    </cfRule>
  </conditionalFormatting>
  <conditionalFormatting sqref="M35">
    <cfRule type="cellIs" dxfId="55" priority="34" operator="equal">
      <formula>"***"</formula>
    </cfRule>
  </conditionalFormatting>
  <conditionalFormatting sqref="M37:M39">
    <cfRule type="cellIs" dxfId="54" priority="32" operator="equal">
      <formula>"***"</formula>
    </cfRule>
  </conditionalFormatting>
  <conditionalFormatting sqref="M44">
    <cfRule type="cellIs" dxfId="53" priority="31" operator="equal">
      <formula>"***"</formula>
    </cfRule>
  </conditionalFormatting>
  <conditionalFormatting sqref="M46:M47">
    <cfRule type="cellIs" dxfId="52" priority="25" operator="equal">
      <formula>"***"</formula>
    </cfRule>
  </conditionalFormatting>
  <conditionalFormatting sqref="M49">
    <cfRule type="cellIs" dxfId="51" priority="30" operator="equal">
      <formula>"***"</formula>
    </cfRule>
  </conditionalFormatting>
  <conditionalFormatting sqref="M51:M53">
    <cfRule type="cellIs" dxfId="50" priority="29" operator="equal">
      <formula>"***"</formula>
    </cfRule>
  </conditionalFormatting>
  <conditionalFormatting sqref="M55:M58">
    <cfRule type="cellIs" dxfId="49" priority="21" operator="equal">
      <formula>"***"</formula>
    </cfRule>
  </conditionalFormatting>
  <conditionalFormatting sqref="M60:M63">
    <cfRule type="cellIs" dxfId="48" priority="17" operator="equal">
      <formula>"***"</formula>
    </cfRule>
  </conditionalFormatting>
  <conditionalFormatting sqref="M65:M68">
    <cfRule type="cellIs" dxfId="47" priority="7" operator="equal">
      <formula>"***"</formula>
    </cfRule>
  </conditionalFormatting>
  <conditionalFormatting sqref="M70">
    <cfRule type="cellIs" dxfId="46" priority="6" operator="equal">
      <formula>"***"</formula>
    </cfRule>
  </conditionalFormatting>
  <conditionalFormatting sqref="M72:M76">
    <cfRule type="cellIs" dxfId="45" priority="2" operator="equal">
      <formula>"***"</formula>
    </cfRule>
  </conditionalFormatting>
  <printOptions gridLines="1"/>
  <pageMargins left="0" right="0" top="0" bottom="0" header="0.3" footer="0.3"/>
  <pageSetup scale="42"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18FA3DF-8FE6-462A-BF37-B20CEC37F721}">
          <x14:formula1>
            <xm:f>REF!$AL$4:$AL$5</xm:f>
          </x14:formula1>
          <xm:sqref>I12</xm:sqref>
        </x14:dataValidation>
        <x14:dataValidation type="list" allowBlank="1" showInputMessage="1" showErrorMessage="1" xr:uid="{B5526F24-EFA9-40FC-A953-8DBBAAC98FA3}">
          <x14:formula1>
            <xm:f>REF!$AO$3:$AO$73</xm:f>
          </x14:formula1>
          <xm:sqref>I10:O10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6F77-A1F7-47BA-80AE-695BD465E9FC}">
  <sheetPr>
    <tabColor theme="1"/>
    <pageSetUpPr fitToPage="1"/>
  </sheetPr>
  <dimension ref="A1:AF77"/>
  <sheetViews>
    <sheetView zoomScale="85" zoomScaleNormal="85" workbookViewId="0">
      <selection activeCell="I12" sqref="I12"/>
    </sheetView>
  </sheetViews>
  <sheetFormatPr defaultColWidth="9.08984375" defaultRowHeight="14" x14ac:dyDescent="0.3"/>
  <cols>
    <col min="1" max="1" width="5.6328125" style="64" customWidth="1"/>
    <col min="2" max="4" width="5.453125" style="64" customWidth="1"/>
    <col min="5" max="5" width="8.54296875" style="64" customWidth="1"/>
    <col min="6" max="6" width="15.6328125" style="64" customWidth="1"/>
    <col min="7" max="7" width="13.36328125" style="64" customWidth="1"/>
    <col min="8" max="8" width="1.54296875" style="64" customWidth="1"/>
    <col min="9" max="9" width="22.90625" style="64" customWidth="1"/>
    <col min="10" max="10" width="2.36328125" style="64" customWidth="1"/>
    <col min="11" max="11" width="22.90625" style="64" customWidth="1"/>
    <col min="12" max="12" width="1.453125" style="64" customWidth="1"/>
    <col min="13" max="13" width="20.90625" style="64" customWidth="1"/>
    <col min="14" max="14" width="5.6328125" style="64" customWidth="1"/>
    <col min="15" max="15" width="40.90625" style="64" customWidth="1"/>
    <col min="16" max="16" width="2.90625" style="64" customWidth="1"/>
    <col min="17" max="17" width="35.54296875" style="64" customWidth="1"/>
    <col min="18" max="18" width="2.90625" style="64" customWidth="1"/>
    <col min="19" max="19" width="14.36328125" style="64" customWidth="1"/>
    <col min="20" max="20" width="2.90625" style="64" customWidth="1"/>
    <col min="21" max="21" width="11.453125" style="64" customWidth="1"/>
    <col min="22" max="22" width="2.90625" style="64" customWidth="1"/>
    <col min="23" max="24" width="16.36328125" style="64" customWidth="1"/>
    <col min="25" max="25" width="27.54296875" style="64" customWidth="1"/>
    <col min="26" max="26" width="5.6328125" style="64" customWidth="1"/>
    <col min="27" max="27" width="9.08984375" style="64"/>
    <col min="28" max="28" width="14" style="64" customWidth="1"/>
    <col min="29" max="29" width="22.6328125" style="64" customWidth="1"/>
    <col min="30" max="30" width="16.453125" style="64" customWidth="1"/>
    <col min="31" max="31" width="9.08984375" style="64"/>
    <col min="32" max="32" width="13" style="64" customWidth="1"/>
    <col min="33" max="33" width="9.08984375" style="64"/>
    <col min="34" max="34" width="11" style="64" customWidth="1"/>
    <col min="35" max="16384" width="9.08984375" style="64"/>
  </cols>
  <sheetData>
    <row r="1" spans="1:32" ht="75" customHeight="1" x14ac:dyDescent="0.3">
      <c r="A1" s="63"/>
      <c r="B1" s="63"/>
      <c r="C1" s="63"/>
      <c r="D1" s="63"/>
      <c r="E1" s="63"/>
      <c r="F1" s="63"/>
      <c r="G1" s="63"/>
      <c r="H1" s="63"/>
      <c r="I1" s="63"/>
      <c r="J1" s="63"/>
      <c r="K1" s="63"/>
      <c r="L1" s="63"/>
      <c r="M1" s="63"/>
      <c r="N1" s="63"/>
      <c r="O1" s="63"/>
      <c r="P1" s="63"/>
      <c r="Q1" s="63"/>
      <c r="R1" s="63"/>
      <c r="S1" s="63"/>
      <c r="T1" s="63"/>
      <c r="U1" s="63"/>
      <c r="V1" s="63"/>
      <c r="W1" s="63"/>
      <c r="X1" s="63"/>
      <c r="Y1" s="63"/>
      <c r="Z1" s="63"/>
    </row>
    <row r="2" spans="1:32" ht="1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32" ht="30.75" customHeight="1" x14ac:dyDescent="0.3">
      <c r="A3" s="15"/>
      <c r="B3" s="96" t="s">
        <v>649</v>
      </c>
      <c r="C3" s="34"/>
      <c r="D3" s="34"/>
      <c r="E3" s="15"/>
      <c r="F3" s="15"/>
      <c r="G3" s="15"/>
      <c r="H3" s="15"/>
      <c r="I3" s="15"/>
      <c r="J3" s="15"/>
      <c r="K3" s="15"/>
      <c r="L3" s="15"/>
      <c r="M3" s="15"/>
      <c r="N3" s="15"/>
      <c r="O3" s="15"/>
      <c r="P3" s="15"/>
      <c r="Q3" s="15"/>
      <c r="R3" s="15"/>
      <c r="S3" s="15"/>
      <c r="T3" s="15"/>
      <c r="U3" s="15"/>
      <c r="V3" s="15"/>
      <c r="W3" s="15"/>
      <c r="X3" s="15"/>
      <c r="Y3" s="264" t="str">
        <f>'Front Cover'!Y3</f>
        <v>December 2024</v>
      </c>
      <c r="Z3" s="15"/>
    </row>
    <row r="4" spans="1:32" ht="15" customHeight="1" x14ac:dyDescent="0.3">
      <c r="A4" s="15"/>
      <c r="B4" s="34"/>
      <c r="C4" s="34"/>
      <c r="D4" s="34"/>
      <c r="E4" s="15"/>
      <c r="F4" s="15"/>
      <c r="G4" s="15"/>
      <c r="H4" s="15"/>
      <c r="I4" s="15"/>
      <c r="J4" s="15"/>
      <c r="K4" s="15"/>
      <c r="L4" s="15"/>
      <c r="M4" s="15"/>
      <c r="N4" s="15"/>
      <c r="O4" s="15"/>
      <c r="P4" s="15"/>
      <c r="Q4" s="15"/>
      <c r="R4" s="15"/>
      <c r="S4" s="15"/>
      <c r="T4" s="15"/>
      <c r="U4" s="15"/>
      <c r="V4" s="15"/>
      <c r="W4" s="15"/>
      <c r="X4" s="15"/>
      <c r="Y4" s="15"/>
      <c r="Z4" s="15"/>
    </row>
    <row r="5" spans="1:32" ht="21" customHeight="1" x14ac:dyDescent="0.4">
      <c r="A5" s="15"/>
      <c r="B5" s="14" t="s">
        <v>9</v>
      </c>
      <c r="C5" s="14"/>
      <c r="D5" s="14"/>
      <c r="E5" s="15"/>
      <c r="F5" s="15"/>
      <c r="G5" s="15"/>
      <c r="H5" s="15"/>
      <c r="I5" s="15"/>
      <c r="J5" s="15"/>
      <c r="K5" s="15"/>
      <c r="L5" s="15"/>
      <c r="M5" s="15"/>
      <c r="N5" s="15"/>
      <c r="O5" s="15"/>
      <c r="P5" s="15"/>
      <c r="Q5" s="15"/>
      <c r="R5" s="15"/>
      <c r="S5" s="15"/>
      <c r="T5" s="15"/>
      <c r="U5" s="15"/>
      <c r="V5" s="15"/>
      <c r="W5" s="15"/>
      <c r="X5" s="15"/>
      <c r="Y5" s="15"/>
      <c r="Z5" s="15"/>
    </row>
    <row r="6" spans="1:32" ht="15" customHeight="1" x14ac:dyDescent="0.4">
      <c r="A6" s="15"/>
      <c r="B6" s="14"/>
      <c r="C6" s="14"/>
      <c r="D6" s="14"/>
      <c r="E6" s="15"/>
      <c r="F6" s="15"/>
      <c r="G6" s="15"/>
      <c r="H6" s="15"/>
      <c r="I6" s="15"/>
      <c r="J6" s="15"/>
      <c r="K6" s="15"/>
      <c r="L6" s="15"/>
      <c r="M6" s="15"/>
      <c r="N6" s="15"/>
      <c r="O6" s="15"/>
      <c r="P6" s="15"/>
      <c r="Q6" s="15"/>
      <c r="R6" s="15"/>
      <c r="S6" s="15"/>
      <c r="T6" s="15"/>
      <c r="U6" s="15"/>
      <c r="V6" s="15"/>
      <c r="W6" s="15"/>
      <c r="X6" s="15"/>
      <c r="Y6" s="15"/>
      <c r="Z6" s="15"/>
    </row>
    <row r="7" spans="1:32" ht="48.75" customHeight="1" x14ac:dyDescent="0.3">
      <c r="A7" s="15"/>
      <c r="B7" s="328" t="s">
        <v>97</v>
      </c>
      <c r="C7" s="328"/>
      <c r="D7" s="328"/>
      <c r="E7" s="328"/>
      <c r="F7" s="328"/>
      <c r="G7" s="328"/>
      <c r="H7" s="328"/>
      <c r="I7" s="328"/>
      <c r="J7" s="328"/>
      <c r="K7" s="328"/>
      <c r="L7" s="328"/>
      <c r="M7" s="328"/>
      <c r="N7" s="328"/>
      <c r="O7" s="328"/>
      <c r="P7" s="328"/>
      <c r="Q7" s="328"/>
      <c r="R7" s="328"/>
      <c r="S7" s="328"/>
      <c r="T7" s="328"/>
      <c r="U7" s="328"/>
      <c r="V7" s="328"/>
      <c r="W7" s="328"/>
      <c r="X7" s="328"/>
      <c r="Y7" s="328"/>
      <c r="Z7" s="15"/>
    </row>
    <row r="8" spans="1:32" ht="15" customHeight="1" x14ac:dyDescent="0.35">
      <c r="A8" s="15"/>
      <c r="B8" s="334" t="s">
        <v>10</v>
      </c>
      <c r="C8" s="335"/>
      <c r="D8" s="335"/>
      <c r="E8" s="335"/>
      <c r="F8" s="335"/>
      <c r="G8" s="336"/>
      <c r="H8" s="71"/>
      <c r="I8" s="340" t="str">
        <f>'I. ESG Factors Report - FI (1)'!I8</f>
        <v>iBoxx ChinaBond Global Non-Sovereigns China Investment Grade Screened Index Guide</v>
      </c>
      <c r="J8" s="341"/>
      <c r="K8" s="341"/>
      <c r="L8" s="341"/>
      <c r="M8" s="341"/>
      <c r="N8" s="341"/>
      <c r="O8" s="342"/>
      <c r="P8" s="15"/>
      <c r="Q8" s="49"/>
      <c r="R8" s="56"/>
      <c r="S8" s="15"/>
      <c r="T8" s="15"/>
      <c r="U8" s="15"/>
      <c r="V8" s="15"/>
      <c r="W8" s="15"/>
      <c r="X8" s="15"/>
      <c r="Y8" s="15"/>
      <c r="Z8" s="15"/>
    </row>
    <row r="9" spans="1:32" ht="4.5" customHeight="1" x14ac:dyDescent="0.35">
      <c r="A9" s="15"/>
      <c r="B9" s="17"/>
      <c r="C9" s="17"/>
      <c r="D9" s="17"/>
      <c r="E9" s="18"/>
      <c r="F9" s="17"/>
      <c r="G9" s="17"/>
      <c r="H9" s="76"/>
      <c r="I9" s="76"/>
      <c r="J9" s="76"/>
      <c r="K9" s="76"/>
      <c r="L9" s="76"/>
      <c r="M9" s="76"/>
      <c r="N9" s="76"/>
      <c r="O9" s="76"/>
      <c r="P9" s="15"/>
      <c r="Q9" s="77"/>
      <c r="R9" s="15"/>
      <c r="S9" s="15"/>
      <c r="T9" s="15"/>
      <c r="U9" s="15"/>
      <c r="V9" s="15"/>
      <c r="W9" s="15"/>
      <c r="X9" s="15"/>
      <c r="Y9" s="15"/>
      <c r="Z9" s="15"/>
    </row>
    <row r="10" spans="1:32" ht="15" customHeight="1" x14ac:dyDescent="0.35">
      <c r="A10" s="15"/>
      <c r="B10" s="337" t="s">
        <v>11</v>
      </c>
      <c r="C10" s="338"/>
      <c r="D10" s="338"/>
      <c r="E10" s="338"/>
      <c r="F10" s="338"/>
      <c r="G10" s="339"/>
      <c r="H10" s="78"/>
      <c r="I10" s="340" t="str">
        <f>'I. ESG Factors Report - FI (1)'!I10</f>
        <v>iBoxx ChinaBond Global Non-Sovereigns China Investment Grade Screened</v>
      </c>
      <c r="J10" s="341"/>
      <c r="K10" s="341"/>
      <c r="L10" s="341"/>
      <c r="M10" s="341"/>
      <c r="N10" s="341"/>
      <c r="O10" s="342"/>
      <c r="P10" s="15"/>
      <c r="Q10" s="50"/>
      <c r="R10" s="15"/>
      <c r="S10" s="196"/>
      <c r="T10" s="197"/>
      <c r="U10" s="197"/>
      <c r="V10" s="197"/>
      <c r="W10" s="197"/>
      <c r="X10" s="197"/>
      <c r="Y10" s="197"/>
      <c r="Z10" s="15"/>
    </row>
    <row r="11" spans="1:32" ht="7.5" customHeight="1" x14ac:dyDescent="0.3">
      <c r="A11" s="15"/>
      <c r="B11" s="11"/>
      <c r="C11" s="11"/>
      <c r="D11" s="11"/>
      <c r="E11" s="12"/>
      <c r="F11" s="13"/>
      <c r="G11" s="11"/>
      <c r="H11" s="79"/>
      <c r="I11" s="77"/>
      <c r="J11" s="77"/>
      <c r="K11" s="77"/>
      <c r="L11" s="77"/>
      <c r="M11" s="79"/>
      <c r="N11" s="77"/>
      <c r="O11" s="79"/>
      <c r="P11" s="77"/>
      <c r="Q11" s="77"/>
      <c r="R11" s="73"/>
      <c r="S11" s="195"/>
      <c r="T11" s="165"/>
      <c r="U11" s="165"/>
      <c r="V11" s="165"/>
      <c r="W11" s="165"/>
      <c r="X11" s="165"/>
      <c r="Y11" s="165"/>
      <c r="Z11" s="15"/>
    </row>
    <row r="12" spans="1:32" ht="15" customHeight="1" x14ac:dyDescent="0.35">
      <c r="A12" s="15"/>
      <c r="B12" s="11"/>
      <c r="C12" s="11"/>
      <c r="D12" s="11"/>
      <c r="E12" s="12"/>
      <c r="F12" s="337" t="s">
        <v>13</v>
      </c>
      <c r="G12" s="339"/>
      <c r="H12" s="78"/>
      <c r="I12" s="208">
        <f>'I. ESG Factors Report - FI (1)'!I12</f>
        <v>45626</v>
      </c>
      <c r="J12" s="162"/>
      <c r="K12" s="162"/>
      <c r="L12" s="51"/>
      <c r="M12" s="15"/>
      <c r="N12" s="77"/>
      <c r="O12" s="79"/>
      <c r="P12" s="77"/>
      <c r="Q12" s="77"/>
      <c r="R12" s="58"/>
      <c r="S12" s="93" t="s">
        <v>14</v>
      </c>
      <c r="T12" s="74"/>
      <c r="U12" s="248" t="s">
        <v>65</v>
      </c>
      <c r="V12" s="75"/>
      <c r="W12" s="75"/>
      <c r="X12" s="75"/>
      <c r="Y12" s="249" t="s">
        <v>654</v>
      </c>
      <c r="Z12" s="15"/>
    </row>
    <row r="13" spans="1:32" ht="8.25" customHeight="1" x14ac:dyDescent="0.3">
      <c r="A13" s="15"/>
      <c r="B13" s="11"/>
      <c r="C13" s="11"/>
      <c r="D13" s="11"/>
      <c r="E13" s="12"/>
      <c r="F13" s="13"/>
      <c r="G13" s="11"/>
      <c r="H13" s="79"/>
      <c r="I13" s="77"/>
      <c r="J13" s="77"/>
      <c r="K13" s="77"/>
      <c r="L13" s="77"/>
      <c r="M13" s="79"/>
      <c r="N13" s="77"/>
      <c r="O13" s="79"/>
      <c r="P13" s="77"/>
      <c r="Q13" s="77"/>
      <c r="R13" s="77"/>
      <c r="S13" s="97"/>
      <c r="T13" s="163"/>
      <c r="U13" s="165"/>
      <c r="V13" s="75"/>
      <c r="W13" s="75"/>
      <c r="X13" s="75"/>
      <c r="Y13" s="250"/>
      <c r="Z13" s="58"/>
      <c r="AA13" s="58"/>
      <c r="AB13" s="58"/>
      <c r="AC13" s="58"/>
      <c r="AD13" s="58"/>
      <c r="AE13" s="58"/>
      <c r="AF13" s="58"/>
    </row>
    <row r="14" spans="1:32" ht="15" customHeight="1" x14ac:dyDescent="0.35">
      <c r="A14" s="15"/>
      <c r="B14" s="11"/>
      <c r="C14" s="11"/>
      <c r="D14" s="11"/>
      <c r="E14" s="265"/>
      <c r="F14" s="332" t="s">
        <v>650</v>
      </c>
      <c r="G14" s="333"/>
      <c r="H14" s="266"/>
      <c r="I14" s="351" t="str">
        <f>'I. ESG Factors Report - FI (1)'!I14</f>
        <v>Fixed Income</v>
      </c>
      <c r="J14" s="352"/>
      <c r="K14" s="353"/>
      <c r="L14" s="79"/>
      <c r="M14" s="79"/>
      <c r="N14" s="79"/>
      <c r="O14" s="79"/>
      <c r="P14" s="77"/>
      <c r="Q14" s="77"/>
      <c r="R14" s="267"/>
      <c r="S14" s="97"/>
      <c r="T14" s="74"/>
      <c r="U14" s="248" t="s">
        <v>66</v>
      </c>
      <c r="V14" s="75"/>
      <c r="W14" s="75"/>
      <c r="X14" s="75"/>
      <c r="Y14" s="251" t="s">
        <v>653</v>
      </c>
      <c r="Z14" s="58"/>
      <c r="AA14" s="58"/>
      <c r="AB14" s="58"/>
      <c r="AC14" s="58"/>
      <c r="AD14" s="58"/>
      <c r="AE14" s="58"/>
      <c r="AF14" s="58"/>
    </row>
    <row r="15" spans="1:32" ht="15" customHeight="1" x14ac:dyDescent="0.3">
      <c r="A15" s="15"/>
      <c r="B15" s="11"/>
      <c r="C15" s="11"/>
      <c r="D15" s="11"/>
      <c r="E15" s="12"/>
      <c r="F15" s="13"/>
      <c r="G15" s="11"/>
      <c r="H15" s="79"/>
      <c r="I15" s="77"/>
      <c r="J15" s="77"/>
      <c r="K15" s="77"/>
      <c r="L15" s="79"/>
      <c r="M15" s="79"/>
      <c r="N15" s="79"/>
      <c r="O15" s="79"/>
      <c r="P15" s="77"/>
      <c r="Q15" s="77"/>
      <c r="R15" s="55"/>
      <c r="S15" s="204"/>
      <c r="T15" s="194"/>
      <c r="U15" s="194"/>
      <c r="V15" s="194"/>
      <c r="W15" s="194"/>
      <c r="X15" s="194"/>
      <c r="Y15" s="194"/>
      <c r="Z15" s="58"/>
      <c r="AA15" s="58"/>
      <c r="AB15" s="58"/>
      <c r="AC15" s="58"/>
      <c r="AD15" s="58"/>
      <c r="AE15" s="58"/>
      <c r="AF15" s="58"/>
    </row>
    <row r="16" spans="1:32" ht="15.5" x14ac:dyDescent="0.3">
      <c r="A16" s="15"/>
      <c r="B16" s="11"/>
      <c r="C16" s="11"/>
      <c r="D16" s="11"/>
      <c r="E16" s="12"/>
      <c r="F16" s="337" t="s">
        <v>17</v>
      </c>
      <c r="G16" s="339"/>
      <c r="H16" s="79"/>
      <c r="I16" s="176">
        <f>'I. ESG Factors Report - FI (1)'!I16</f>
        <v>243</v>
      </c>
      <c r="J16" s="77"/>
      <c r="K16" s="191" t="s">
        <v>18</v>
      </c>
      <c r="L16" s="79"/>
      <c r="M16" s="79"/>
      <c r="N16" s="77"/>
      <c r="O16" s="79"/>
      <c r="P16" s="77"/>
      <c r="Q16" s="77"/>
      <c r="R16" s="55"/>
      <c r="S16" s="73"/>
      <c r="T16" s="58"/>
      <c r="U16" s="58"/>
      <c r="V16" s="58"/>
      <c r="W16" s="58"/>
      <c r="X16" s="58"/>
      <c r="Y16" s="193"/>
      <c r="Z16" s="58"/>
      <c r="AA16" s="58"/>
      <c r="AB16" s="58"/>
      <c r="AC16" s="58"/>
      <c r="AD16" s="58"/>
      <c r="AE16" s="58"/>
      <c r="AF16" s="58"/>
    </row>
    <row r="17" spans="1:32" ht="8.25" customHeight="1" x14ac:dyDescent="0.35">
      <c r="A17" s="15"/>
      <c r="B17" s="92"/>
      <c r="C17" s="11"/>
      <c r="D17" s="11"/>
      <c r="E17" s="12"/>
      <c r="F17" s="77"/>
      <c r="G17" s="77"/>
      <c r="H17" s="79"/>
      <c r="I17" s="77"/>
      <c r="J17" s="77"/>
      <c r="K17" s="77"/>
      <c r="L17" s="77"/>
      <c r="M17" s="79"/>
      <c r="N17" s="77"/>
      <c r="O17" s="79"/>
      <c r="P17" s="77"/>
      <c r="Q17" s="77"/>
      <c r="R17" s="55"/>
      <c r="S17" s="15"/>
      <c r="T17" s="73"/>
      <c r="U17" s="73"/>
      <c r="V17" s="15"/>
      <c r="W17" s="15"/>
      <c r="X17" s="15"/>
      <c r="Y17" s="57"/>
      <c r="Z17" s="58"/>
      <c r="AA17" s="58"/>
      <c r="AB17" s="58"/>
      <c r="AC17" s="58"/>
      <c r="AD17" s="58"/>
      <c r="AE17" s="58"/>
      <c r="AF17" s="58"/>
    </row>
    <row r="18" spans="1:32" ht="15.75" customHeight="1" x14ac:dyDescent="0.35">
      <c r="A18" s="15"/>
      <c r="B18" s="92"/>
      <c r="C18" s="365" t="s">
        <v>19</v>
      </c>
      <c r="D18" s="365"/>
      <c r="E18" s="365"/>
      <c r="F18" s="365"/>
      <c r="G18" s="365"/>
      <c r="H18" s="79"/>
      <c r="I18" s="179">
        <f>'I. ESG Factors Report - FI (1)'!I18</f>
        <v>243</v>
      </c>
      <c r="J18" s="178"/>
      <c r="K18" s="180">
        <f>'I. ESG Factors Report - FI (1)'!K18</f>
        <v>1</v>
      </c>
      <c r="L18" s="77"/>
      <c r="M18" s="79"/>
      <c r="N18" s="77"/>
      <c r="O18" s="79"/>
      <c r="P18" s="77"/>
      <c r="Q18" s="77"/>
      <c r="R18" s="55"/>
      <c r="S18" s="15"/>
      <c r="T18" s="73"/>
      <c r="U18" s="73"/>
      <c r="V18" s="15"/>
      <c r="W18" s="15"/>
      <c r="X18" s="15"/>
      <c r="Y18" s="57"/>
      <c r="Z18" s="58"/>
      <c r="AA18" s="58"/>
      <c r="AB18" s="58"/>
      <c r="AC18" s="58"/>
      <c r="AD18" s="58"/>
      <c r="AE18" s="58"/>
      <c r="AF18" s="58"/>
    </row>
    <row r="19" spans="1:32" ht="15.75" customHeight="1" x14ac:dyDescent="0.35">
      <c r="A19" s="15"/>
      <c r="B19" s="92"/>
      <c r="C19" s="366" t="s">
        <v>20</v>
      </c>
      <c r="D19" s="366"/>
      <c r="E19" s="366"/>
      <c r="F19" s="366"/>
      <c r="G19" s="366"/>
      <c r="H19" s="79"/>
      <c r="I19" s="176">
        <f>'I. ESG Factors Report - FI (1)'!I19</f>
        <v>0</v>
      </c>
      <c r="J19" s="77"/>
      <c r="K19" s="177">
        <f>'I. ESG Factors Report - FI (1)'!K19</f>
        <v>0</v>
      </c>
      <c r="L19" s="77"/>
      <c r="M19" s="79"/>
      <c r="N19" s="77"/>
      <c r="O19" s="79"/>
      <c r="P19" s="77"/>
      <c r="Q19" s="77"/>
      <c r="R19" s="55"/>
      <c r="S19" s="313" t="s">
        <v>21</v>
      </c>
      <c r="T19" s="314"/>
      <c r="U19" s="315"/>
      <c r="V19" s="15"/>
      <c r="W19" s="344" t="str">
        <f>IF($I$10=" &lt;&lt;&lt; Select Index &gt;&gt;&gt;","",IF(ISERROR(VLOOKUP($I$10&amp;$I$12,'Database - FI'!$B:$DG,110,FALSE))=TRUE,"†",IF(ISBLANK((VLOOKUP($I$10&amp;$I$12,'Database - FI'!$B:$DG,110,FALSE))),"",VLOOKUP($I$10&amp;$I$12,'Database - FI'!$B:$DG,110,FALSE))))</f>
        <v>Sustainalytics</v>
      </c>
      <c r="X19" s="345"/>
      <c r="Y19" s="346"/>
      <c r="Z19" s="58"/>
      <c r="AA19" s="58"/>
      <c r="AB19" s="58"/>
      <c r="AC19" s="58"/>
      <c r="AD19" s="58"/>
      <c r="AE19" s="58"/>
      <c r="AF19" s="58"/>
    </row>
    <row r="20" spans="1:32" ht="18" customHeight="1" x14ac:dyDescent="0.35">
      <c r="A20" s="15"/>
      <c r="B20" s="92"/>
      <c r="C20" s="11"/>
      <c r="D20" s="11"/>
      <c r="E20" s="15"/>
      <c r="F20" s="15"/>
      <c r="G20" s="15"/>
      <c r="H20" s="15"/>
      <c r="I20" s="15"/>
      <c r="J20" s="77"/>
      <c r="K20" s="77"/>
      <c r="L20" s="77"/>
      <c r="M20" s="79"/>
      <c r="N20" s="77"/>
      <c r="O20" s="79"/>
      <c r="P20" s="77"/>
      <c r="Q20" s="77"/>
      <c r="R20" s="55"/>
      <c r="S20" s="15"/>
      <c r="T20" s="73"/>
      <c r="U20" s="73"/>
      <c r="V20" s="15"/>
      <c r="W20" s="15"/>
      <c r="X20" s="15"/>
      <c r="Y20" s="57"/>
      <c r="Z20" s="58"/>
      <c r="AA20" s="58"/>
      <c r="AB20" s="58"/>
      <c r="AC20" s="58"/>
      <c r="AD20" s="58"/>
      <c r="AE20" s="58"/>
      <c r="AF20" s="58"/>
    </row>
    <row r="21" spans="1:32" s="67" customFormat="1" ht="18" x14ac:dyDescent="0.35">
      <c r="A21" s="65"/>
      <c r="B21" s="205" t="s">
        <v>67</v>
      </c>
      <c r="C21" s="206"/>
      <c r="D21" s="206"/>
      <c r="E21" s="207"/>
      <c r="F21" s="207"/>
      <c r="G21" s="207"/>
      <c r="H21" s="207"/>
      <c r="I21" s="207"/>
      <c r="J21" s="207"/>
      <c r="K21" s="207"/>
      <c r="L21" s="207"/>
      <c r="M21" s="207"/>
      <c r="N21" s="207"/>
      <c r="O21" s="207"/>
      <c r="P21" s="207"/>
      <c r="Q21" s="206"/>
      <c r="R21" s="207"/>
      <c r="S21" s="207"/>
      <c r="T21" s="207"/>
      <c r="U21" s="207"/>
      <c r="V21" s="207"/>
      <c r="W21" s="207"/>
      <c r="X21" s="207"/>
      <c r="Y21" s="207"/>
      <c r="Z21" s="65"/>
    </row>
    <row r="22" spans="1:32" ht="7.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32" ht="38.25" customHeight="1" x14ac:dyDescent="0.3">
      <c r="A23" s="15"/>
      <c r="B23" s="291" t="s">
        <v>23</v>
      </c>
      <c r="C23" s="291"/>
      <c r="D23" s="291"/>
      <c r="E23" s="268"/>
      <c r="F23" s="359" t="s">
        <v>652</v>
      </c>
      <c r="G23" s="359"/>
      <c r="H23" s="359"/>
      <c r="I23" s="359"/>
      <c r="J23" s="359"/>
      <c r="K23" s="359"/>
      <c r="L23" s="15"/>
      <c r="M23" s="270" t="s">
        <v>24</v>
      </c>
      <c r="N23" s="15"/>
      <c r="O23" s="272" t="s">
        <v>25</v>
      </c>
      <c r="P23" s="15"/>
      <c r="Q23" s="316" t="s">
        <v>26</v>
      </c>
      <c r="R23" s="316"/>
      <c r="S23" s="316"/>
      <c r="T23" s="316"/>
      <c r="U23" s="316"/>
      <c r="V23" s="316"/>
      <c r="W23" s="316"/>
      <c r="X23" s="316"/>
      <c r="Y23" s="316"/>
      <c r="Z23" s="15"/>
    </row>
    <row r="24" spans="1:32" ht="7.5" customHeight="1" x14ac:dyDescent="0.35">
      <c r="A24" s="15"/>
      <c r="B24" s="15"/>
      <c r="C24" s="15"/>
      <c r="D24" s="15"/>
      <c r="E24" s="15"/>
      <c r="F24" s="15"/>
      <c r="G24" s="15"/>
      <c r="H24" s="15"/>
      <c r="I24" s="15"/>
      <c r="J24" s="15"/>
      <c r="K24" s="15"/>
      <c r="L24" s="15"/>
      <c r="M24" s="15"/>
      <c r="N24" s="15"/>
      <c r="O24" s="15"/>
      <c r="P24" s="15"/>
      <c r="Q24" s="15"/>
      <c r="R24" s="15"/>
      <c r="S24" s="92"/>
      <c r="T24" s="92"/>
      <c r="U24" s="92"/>
      <c r="V24" s="15"/>
      <c r="W24" s="15"/>
      <c r="X24" s="15"/>
      <c r="Y24" s="15"/>
      <c r="Z24" s="15"/>
    </row>
    <row r="25" spans="1:32" ht="32.25" customHeight="1" x14ac:dyDescent="0.35">
      <c r="A25" s="15"/>
      <c r="B25" s="323" t="s">
        <v>68</v>
      </c>
      <c r="C25" s="323"/>
      <c r="D25" s="323"/>
      <c r="E25" s="15"/>
      <c r="F25" s="317" t="s">
        <v>69</v>
      </c>
      <c r="G25" s="318"/>
      <c r="H25" s="318"/>
      <c r="I25" s="318"/>
      <c r="J25" s="318"/>
      <c r="K25" s="319"/>
      <c r="L25" s="80"/>
      <c r="M25" s="187">
        <f>IF($I$14="Sovereign Debt","N/A",IF($I$10=" &lt;&lt;&lt; Select Index &gt;&gt;&gt;","",IF(ISERROR(VLOOKUP($I$10&amp;$I$12,'Database - FI'!$B:$DC,76,FALSE))=TRUE,"†",IF(ISBLANK((VLOOKUP($I$10&amp;$I$12,'Database - FI'!$B:$DC,76,FALSE))),"",VLOOKUP($I$10&amp;$I$12,'Database - FI'!$B:$DC,76,FALSE)))))</f>
        <v>0</v>
      </c>
      <c r="N25" s="81"/>
      <c r="O25" s="83" t="s">
        <v>70</v>
      </c>
      <c r="P25" s="15"/>
      <c r="Q25" s="297" t="s">
        <v>71</v>
      </c>
      <c r="R25" s="298"/>
      <c r="S25" s="298"/>
      <c r="T25" s="298"/>
      <c r="U25" s="298"/>
      <c r="V25" s="298"/>
      <c r="W25" s="298"/>
      <c r="X25" s="298"/>
      <c r="Y25" s="299"/>
      <c r="Z25" s="15"/>
    </row>
    <row r="26" spans="1:32" ht="7.5" customHeight="1" x14ac:dyDescent="0.35">
      <c r="A26" s="15"/>
      <c r="B26" s="15"/>
      <c r="C26" s="15"/>
      <c r="D26" s="15"/>
      <c r="E26" s="15"/>
      <c r="F26" s="157"/>
      <c r="G26" s="157"/>
      <c r="H26" s="157"/>
      <c r="I26" s="157"/>
      <c r="J26" s="157"/>
      <c r="K26" s="157"/>
      <c r="L26" s="15"/>
      <c r="M26" s="15"/>
      <c r="N26" s="15"/>
      <c r="O26" s="92"/>
      <c r="P26" s="15"/>
      <c r="Q26" s="15"/>
      <c r="R26" s="15"/>
      <c r="S26" s="15"/>
      <c r="T26" s="15"/>
      <c r="U26" s="15"/>
      <c r="V26" s="15"/>
      <c r="W26" s="15"/>
      <c r="X26" s="15"/>
      <c r="Y26" s="15"/>
      <c r="Z26" s="15"/>
    </row>
    <row r="27" spans="1:32" ht="32.25" customHeight="1" x14ac:dyDescent="0.35">
      <c r="A27" s="15"/>
      <c r="B27" s="323" t="s">
        <v>68</v>
      </c>
      <c r="C27" s="323"/>
      <c r="D27" s="323"/>
      <c r="E27" s="15"/>
      <c r="F27" s="317" t="s">
        <v>72</v>
      </c>
      <c r="G27" s="318"/>
      <c r="H27" s="318"/>
      <c r="I27" s="318"/>
      <c r="J27" s="318"/>
      <c r="K27" s="319"/>
      <c r="L27" s="80"/>
      <c r="M27" s="247">
        <f>IF($I$14="Sovereign Debt","N/A",IF($I$10=" &lt;&lt;&lt; Select Index &gt;&gt;&gt;","",IF(ISERROR(VLOOKUP($I$10&amp;$I$12,'Database - FI'!$B:$DC,79,FALSE))=TRUE,"†",IF(ISBLANK((VLOOKUP($I$10&amp;$I$12,'Database - FI'!$B:$DC,79,FALSE))),"",VLOOKUP($I$10&amp;$I$12,'Database - FI'!$B:$DC,79,FALSE)))))</f>
        <v>0</v>
      </c>
      <c r="N27" s="81"/>
      <c r="O27" s="83" t="s">
        <v>73</v>
      </c>
      <c r="P27" s="15"/>
      <c r="Q27" s="297" t="s">
        <v>74</v>
      </c>
      <c r="R27" s="298"/>
      <c r="S27" s="298"/>
      <c r="T27" s="298"/>
      <c r="U27" s="298"/>
      <c r="V27" s="298"/>
      <c r="W27" s="298"/>
      <c r="X27" s="298"/>
      <c r="Y27" s="299"/>
      <c r="Z27" s="15"/>
    </row>
    <row r="28" spans="1:32" ht="7.5" customHeight="1" x14ac:dyDescent="0.35">
      <c r="A28" s="15"/>
      <c r="B28" s="15"/>
      <c r="C28" s="15"/>
      <c r="D28" s="15"/>
      <c r="E28" s="15"/>
      <c r="F28" s="157"/>
      <c r="G28" s="157"/>
      <c r="H28" s="157"/>
      <c r="I28" s="157"/>
      <c r="J28" s="157"/>
      <c r="K28" s="157"/>
      <c r="L28" s="15"/>
      <c r="M28" s="15"/>
      <c r="N28" s="15"/>
      <c r="O28" s="92"/>
      <c r="P28" s="15"/>
      <c r="Q28" s="15"/>
      <c r="R28" s="15"/>
      <c r="S28" s="15"/>
      <c r="T28" s="15"/>
      <c r="U28" s="15"/>
      <c r="V28" s="15"/>
      <c r="W28" s="15"/>
      <c r="X28" s="15"/>
      <c r="Y28" s="15"/>
      <c r="Z28" s="15"/>
    </row>
    <row r="29" spans="1:32" ht="14.25" customHeight="1" x14ac:dyDescent="0.35">
      <c r="A29" s="15"/>
      <c r="B29" s="15"/>
      <c r="C29" s="15"/>
      <c r="D29" s="15"/>
      <c r="E29" s="15"/>
      <c r="F29" s="157"/>
      <c r="G29" s="157"/>
      <c r="H29" s="15"/>
      <c r="I29" s="290" t="s">
        <v>30</v>
      </c>
      <c r="J29" s="290"/>
      <c r="K29" s="290"/>
      <c r="L29" s="15"/>
      <c r="M29" s="183">
        <f>IF($I$14="Sovereign Debt","",IF($I$10=" &lt;&lt;&lt; Select Index &gt;&gt;&gt;","",IF(ISERROR(VLOOKUP($I$10&amp;$I$12,'Database - FI'!$B:$DC,78,FALSE))=TRUE,"†",IF(ISBLANK((VLOOKUP($I$10&amp;$I$12,'Database - FI'!$B:$DC,78,FALSE))),"",VLOOKUP($I$10&amp;$I$12,'Database - FI'!$B:$DC,78,FALSE)))))</f>
        <v>243</v>
      </c>
      <c r="N29" s="15"/>
      <c r="O29" s="92"/>
      <c r="P29" s="15"/>
      <c r="Q29" s="15"/>
      <c r="R29" s="15"/>
      <c r="S29" s="15"/>
      <c r="T29" s="15"/>
      <c r="U29" s="15"/>
      <c r="V29" s="15"/>
      <c r="W29" s="15"/>
      <c r="X29" s="15"/>
      <c r="Y29" s="15"/>
      <c r="Z29" s="15"/>
    </row>
    <row r="30" spans="1:32" ht="14.25" customHeight="1" x14ac:dyDescent="0.35">
      <c r="A30" s="15"/>
      <c r="B30" s="15"/>
      <c r="C30" s="15"/>
      <c r="D30" s="15"/>
      <c r="E30" s="15"/>
      <c r="F30" s="157"/>
      <c r="G30" s="157"/>
      <c r="H30" s="15"/>
      <c r="I30" s="290" t="s">
        <v>31</v>
      </c>
      <c r="J30" s="290"/>
      <c r="K30" s="290"/>
      <c r="L30" s="15"/>
      <c r="M30" s="184">
        <f>IF($I$14="Sovereign Debt","",IF($I$10=" &lt;&lt;&lt; Select Index &gt;&gt;&gt;","",IF(ISERROR(VLOOKUP($I$10&amp;$I$12,'Database - FI'!$B:$DC,77,FALSE))=TRUE,"†",IF(ISBLANK((VLOOKUP($I$10&amp;$I$12,'Database - FI'!$B:$DC,77,FALSE))),"",VLOOKUP($I$10&amp;$I$12,'Database - FI'!$B:$DC,77,FALSE)))))</f>
        <v>0.99999999999996403</v>
      </c>
      <c r="N30" s="15"/>
      <c r="O30" s="92"/>
      <c r="P30" s="15"/>
      <c r="Q30" s="15"/>
      <c r="R30" s="15"/>
      <c r="S30" s="15"/>
      <c r="T30" s="15"/>
      <c r="U30" s="15"/>
      <c r="V30" s="15"/>
      <c r="W30" s="15"/>
      <c r="X30" s="15"/>
      <c r="Y30" s="15"/>
      <c r="Z30" s="15"/>
    </row>
    <row r="31" spans="1:32" ht="17.25" customHeight="1" x14ac:dyDescent="0.35">
      <c r="A31" s="15"/>
      <c r="B31" s="15"/>
      <c r="C31" s="15"/>
      <c r="D31" s="15"/>
      <c r="E31" s="15"/>
      <c r="F31" s="157"/>
      <c r="G31" s="157"/>
      <c r="H31" s="157"/>
      <c r="I31" s="157"/>
      <c r="J31" s="157"/>
      <c r="K31" s="157"/>
      <c r="L31" s="15"/>
      <c r="M31" s="15"/>
      <c r="N31" s="15"/>
      <c r="O31" s="92"/>
      <c r="P31" s="15"/>
      <c r="Q31" s="15"/>
      <c r="R31" s="15"/>
      <c r="S31" s="15"/>
      <c r="T31" s="15"/>
      <c r="U31" s="15"/>
      <c r="V31" s="15"/>
      <c r="W31" s="15"/>
      <c r="X31" s="15"/>
      <c r="Y31" s="15"/>
      <c r="Z31" s="15"/>
    </row>
    <row r="32" spans="1:32" ht="44.25" customHeight="1" x14ac:dyDescent="0.35">
      <c r="A32" s="15"/>
      <c r="B32" s="325" t="s">
        <v>68</v>
      </c>
      <c r="C32" s="325"/>
      <c r="D32" s="325"/>
      <c r="E32" s="15"/>
      <c r="F32" s="355" t="s">
        <v>75</v>
      </c>
      <c r="G32" s="355"/>
      <c r="H32" s="355"/>
      <c r="I32" s="355"/>
      <c r="J32" s="355"/>
      <c r="K32" s="356"/>
      <c r="L32" s="80"/>
      <c r="M32" s="237">
        <f>IF($I$14="Sovereign Debt","N/A",IF($I$10=" &lt;&lt;&lt; Select Index &gt;&gt;&gt;","",IF(ISERROR(VLOOKUP($I$10&amp;$I$12,'Database - FI'!$B:$DC,82,FALSE))=TRUE,"†",IF(ISBLANK((VLOOKUP($I$10&amp;$I$12,'Database - FI'!$B:$DC,82,FALSE))),"",VLOOKUP($I$10&amp;$I$12,'Database - FI'!$B:$DC,82,FALSE)))))</f>
        <v>0</v>
      </c>
      <c r="N32" s="81"/>
      <c r="O32" s="83" t="s">
        <v>76</v>
      </c>
      <c r="P32" s="15"/>
      <c r="Q32" s="297" t="str">
        <f>IF(W19="MSCI",REF!BH5,REF!BH4)</f>
        <v>The count of constituents classified in the Sustainalytics Global Standards Screening dataset as 'Non-compliant' with, or in violation of, any of the ten principles of the UNGC, ILO's Conventions, the UN Guiding Principles or Business and Human Rights, and Chapters of the OECD Guidelines for Multinational Enterprises.</v>
      </c>
      <c r="R32" s="298"/>
      <c r="S32" s="298"/>
      <c r="T32" s="298"/>
      <c r="U32" s="298"/>
      <c r="V32" s="298"/>
      <c r="W32" s="298"/>
      <c r="X32" s="298"/>
      <c r="Y32" s="299"/>
      <c r="Z32" s="15"/>
    </row>
    <row r="33" spans="1:26" ht="44.25" customHeight="1" x14ac:dyDescent="0.35">
      <c r="A33" s="15"/>
      <c r="B33" s="327"/>
      <c r="C33" s="327"/>
      <c r="D33" s="327"/>
      <c r="E33" s="15"/>
      <c r="F33" s="357"/>
      <c r="G33" s="357"/>
      <c r="H33" s="357"/>
      <c r="I33" s="357"/>
      <c r="J33" s="357"/>
      <c r="K33" s="358"/>
      <c r="L33" s="80"/>
      <c r="M33" s="236">
        <f>IF($I$14="Sovereign Debt","N/A",IF($I$10=" &lt;&lt;&lt; Select Index &gt;&gt;&gt;","",M32/I16))</f>
        <v>0</v>
      </c>
      <c r="N33" s="81"/>
      <c r="O33" s="83" t="s">
        <v>77</v>
      </c>
      <c r="P33" s="15"/>
      <c r="Q33" s="297" t="str">
        <f>IF(W19="MSCI",REF!BI5,REF!BI4)</f>
        <v>The count of constituents classified in the Sustainalytics Global Standards Screening dataset as 'Non-compliant' with, or in violation of, any of the ten principles of the UNGC, ILO's Conventions, the UN Guiding Principles or Business and Human Rights, and Chapters of the OECD Guidelines for Multinational Enterprises, divided by the total constituent count.</v>
      </c>
      <c r="R33" s="298"/>
      <c r="S33" s="298"/>
      <c r="T33" s="298"/>
      <c r="U33" s="298"/>
      <c r="V33" s="298"/>
      <c r="W33" s="298"/>
      <c r="X33" s="298"/>
      <c r="Y33" s="299"/>
      <c r="Z33" s="15"/>
    </row>
    <row r="34" spans="1:26" ht="7.5" customHeight="1" x14ac:dyDescent="0.35">
      <c r="A34" s="15"/>
      <c r="B34" s="15"/>
      <c r="C34" s="15"/>
      <c r="D34" s="15"/>
      <c r="E34" s="15"/>
      <c r="F34" s="157"/>
      <c r="G34" s="157"/>
      <c r="H34" s="157"/>
      <c r="I34" s="157"/>
      <c r="J34" s="157"/>
      <c r="K34" s="157"/>
      <c r="L34" s="15"/>
      <c r="M34" s="15"/>
      <c r="N34" s="15"/>
      <c r="O34" s="92"/>
      <c r="P34" s="15"/>
      <c r="Q34" s="15"/>
      <c r="R34" s="15"/>
      <c r="S34" s="15"/>
      <c r="T34" s="15"/>
      <c r="U34" s="15"/>
      <c r="V34" s="15"/>
      <c r="W34" s="15"/>
      <c r="X34" s="15"/>
      <c r="Y34" s="15"/>
      <c r="Z34" s="15"/>
    </row>
    <row r="35" spans="1:26" ht="14.25" customHeight="1" x14ac:dyDescent="0.35">
      <c r="A35" s="15"/>
      <c r="B35" s="15"/>
      <c r="C35" s="15"/>
      <c r="D35" s="15"/>
      <c r="E35" s="15"/>
      <c r="F35" s="157"/>
      <c r="G35" s="157"/>
      <c r="H35" s="157"/>
      <c r="I35" s="290" t="s">
        <v>30</v>
      </c>
      <c r="J35" s="290"/>
      <c r="K35" s="290"/>
      <c r="L35" s="15"/>
      <c r="M35" s="183">
        <f>IF($I$14="Sovereign Debt","",IF($I$10=" &lt;&lt;&lt; Select Index &gt;&gt;&gt;","",IF(ISERROR(VLOOKUP($I$10&amp;$I$12,'Database - FI'!$B:$DC,84,FALSE))=TRUE,"†",IF(ISBLANK((VLOOKUP($I$10&amp;$I$12,'Database - FI'!$B:$DC,84,FALSE))),"",VLOOKUP($I$10&amp;$I$12,'Database - FI'!$B:$DC,84,FALSE)))))</f>
        <v>225</v>
      </c>
      <c r="N35" s="15"/>
      <c r="O35" s="92"/>
      <c r="P35" s="15"/>
      <c r="Q35" s="15"/>
      <c r="R35" s="15"/>
      <c r="S35" s="15"/>
      <c r="T35" s="15"/>
      <c r="U35" s="15"/>
      <c r="V35" s="15"/>
      <c r="W35" s="15"/>
      <c r="X35" s="15"/>
      <c r="Y35" s="15"/>
      <c r="Z35" s="15"/>
    </row>
    <row r="36" spans="1:26" ht="14.25" customHeight="1" x14ac:dyDescent="0.35">
      <c r="A36" s="15"/>
      <c r="B36" s="15"/>
      <c r="C36" s="15"/>
      <c r="D36" s="15"/>
      <c r="E36" s="15"/>
      <c r="F36" s="157"/>
      <c r="G36" s="157"/>
      <c r="H36" s="157"/>
      <c r="I36" s="290" t="s">
        <v>31</v>
      </c>
      <c r="J36" s="290"/>
      <c r="K36" s="290"/>
      <c r="L36" s="15"/>
      <c r="M36" s="184">
        <f>IF($I$14="Sovereign Debt","",IF($I$10=" &lt;&lt;&lt; Select Index &gt;&gt;&gt;","",IF(ISERROR(VLOOKUP($I$10&amp;$I$12,'Database - FI'!$B:$DC,83,FALSE))=TRUE,"†",IF(ISBLANK((VLOOKUP($I$10&amp;$I$12,'Database - FI'!$B:$DC,83,FALSE))),"",VLOOKUP($I$10&amp;$I$12,'Database - FI'!$B:$DC,83,FALSE)))))</f>
        <v>0.85913771750468404</v>
      </c>
      <c r="N36" s="15"/>
      <c r="O36" s="92"/>
      <c r="P36" s="15"/>
      <c r="Q36" s="15"/>
      <c r="R36" s="15"/>
      <c r="S36" s="15"/>
      <c r="T36" s="15"/>
      <c r="U36" s="15"/>
      <c r="V36" s="15"/>
      <c r="W36" s="15"/>
      <c r="X36" s="15"/>
      <c r="Y36" s="15"/>
      <c r="Z36" s="15"/>
    </row>
    <row r="37" spans="1:26" ht="17.25" customHeight="1" x14ac:dyDescent="0.35">
      <c r="A37" s="15"/>
      <c r="B37" s="15"/>
      <c r="C37" s="15"/>
      <c r="D37" s="15"/>
      <c r="E37" s="15"/>
      <c r="F37" s="157"/>
      <c r="G37" s="157"/>
      <c r="H37" s="157"/>
      <c r="I37" s="157"/>
      <c r="J37" s="157"/>
      <c r="K37" s="157"/>
      <c r="L37" s="15"/>
      <c r="M37" s="15"/>
      <c r="N37" s="15"/>
      <c r="O37" s="92"/>
      <c r="P37" s="15"/>
      <c r="Q37" s="15"/>
      <c r="R37" s="15"/>
      <c r="S37" s="15"/>
      <c r="T37" s="15"/>
      <c r="U37" s="15"/>
      <c r="V37" s="15"/>
      <c r="W37" s="15"/>
      <c r="X37" s="15"/>
      <c r="Y37" s="15"/>
      <c r="Z37" s="15"/>
    </row>
    <row r="38" spans="1:26" ht="48.75" customHeight="1" x14ac:dyDescent="0.35">
      <c r="A38" s="15"/>
      <c r="B38" s="323" t="s">
        <v>68</v>
      </c>
      <c r="C38" s="323"/>
      <c r="D38" s="323"/>
      <c r="E38" s="15"/>
      <c r="F38" s="317" t="s">
        <v>78</v>
      </c>
      <c r="G38" s="318"/>
      <c r="H38" s="318"/>
      <c r="I38" s="318"/>
      <c r="J38" s="318"/>
      <c r="K38" s="319"/>
      <c r="L38" s="80"/>
      <c r="M38" s="187">
        <f>IF($I$14="Sovereign Debt","N/A",IF($I$10=" &lt;&lt;&lt; Select Index &gt;&gt;&gt;","",IF(ISERROR(VLOOKUP($I$10&amp;$I$12,'Database - FI'!$B:$DC,91,FALSE))=TRUE,"†",IF(ISBLANK((VLOOKUP($I$10&amp;$I$12,'Database - FI'!$B:$DC,91,FALSE))),"",VLOOKUP($I$10&amp;$I$12,'Database - FI'!$B:$DC,91,FALSE)))))</f>
        <v>0.78643661300000001</v>
      </c>
      <c r="N38" s="81"/>
      <c r="O38" s="83" t="s">
        <v>79</v>
      </c>
      <c r="P38" s="15"/>
      <c r="Q38" s="297" t="s">
        <v>80</v>
      </c>
      <c r="R38" s="298"/>
      <c r="S38" s="298"/>
      <c r="T38" s="298"/>
      <c r="U38" s="298"/>
      <c r="V38" s="298"/>
      <c r="W38" s="298"/>
      <c r="X38" s="298"/>
      <c r="Y38" s="299"/>
      <c r="Z38" s="15"/>
    </row>
    <row r="39" spans="1:26" ht="7.5" customHeight="1" x14ac:dyDescent="0.35">
      <c r="A39" s="15"/>
      <c r="B39" s="15"/>
      <c r="C39" s="15"/>
      <c r="D39" s="15"/>
      <c r="E39" s="15"/>
      <c r="F39" s="157"/>
      <c r="G39" s="157"/>
      <c r="H39" s="157"/>
      <c r="I39" s="157"/>
      <c r="J39" s="157"/>
      <c r="K39" s="157"/>
      <c r="L39" s="15"/>
      <c r="M39" s="15"/>
      <c r="N39" s="15"/>
      <c r="O39" s="92"/>
      <c r="P39" s="15"/>
      <c r="Q39" s="15"/>
      <c r="R39" s="15"/>
      <c r="S39" s="15"/>
      <c r="T39" s="15"/>
      <c r="U39" s="15"/>
      <c r="V39" s="15"/>
      <c r="W39" s="15"/>
      <c r="X39" s="15"/>
      <c r="Y39" s="15"/>
      <c r="Z39" s="15"/>
    </row>
    <row r="40" spans="1:26" ht="14.25" customHeight="1" x14ac:dyDescent="0.35">
      <c r="A40" s="15"/>
      <c r="B40" s="15"/>
      <c r="C40" s="15"/>
      <c r="D40" s="15"/>
      <c r="E40" s="15"/>
      <c r="F40" s="157"/>
      <c r="G40" s="157"/>
      <c r="H40" s="157"/>
      <c r="I40" s="290" t="s">
        <v>30</v>
      </c>
      <c r="J40" s="290"/>
      <c r="K40" s="290"/>
      <c r="L40" s="15"/>
      <c r="M40" s="183">
        <f>IF($I$14="Sovereign Debt","",IF($I$10=" &lt;&lt;&lt; Select Index &gt;&gt;&gt;","",IF(ISERROR(VLOOKUP($I$10&amp;$I$12,'Database - FI'!$B:$DC,93,FALSE))=TRUE,"†",IF(ISBLANK((VLOOKUP($I$10&amp;$I$12,'Database - FI'!$B:$DC,93,FALSE))),"",VLOOKUP($I$10&amp;$I$12,'Database - FI'!$B:$DC,93,FALSE)))))</f>
        <v>225</v>
      </c>
      <c r="N40" s="15"/>
      <c r="O40" s="92"/>
      <c r="P40" s="15"/>
      <c r="Q40" s="15"/>
      <c r="R40" s="15"/>
      <c r="S40" s="15"/>
      <c r="T40" s="15"/>
      <c r="U40" s="15"/>
      <c r="V40" s="15"/>
      <c r="W40" s="15"/>
      <c r="X40" s="15"/>
      <c r="Y40" s="15"/>
      <c r="Z40" s="15"/>
    </row>
    <row r="41" spans="1:26" ht="14.25" customHeight="1" x14ac:dyDescent="0.35">
      <c r="A41" s="15"/>
      <c r="B41" s="15"/>
      <c r="C41" s="15"/>
      <c r="D41" s="15"/>
      <c r="E41" s="15"/>
      <c r="F41" s="157"/>
      <c r="G41" s="157"/>
      <c r="H41" s="157"/>
      <c r="I41" s="290" t="s">
        <v>31</v>
      </c>
      <c r="J41" s="290"/>
      <c r="K41" s="290"/>
      <c r="L41" s="15"/>
      <c r="M41" s="184">
        <f>IF($I$14="Sovereign Debt","",IF($I$10=" &lt;&lt;&lt; Select Index &gt;&gt;&gt;","",IF(ISERROR(VLOOKUP($I$10&amp;$I$12,'Database - FI'!$B:$DC,92,FALSE))=TRUE,"†",IF(ISBLANK((VLOOKUP($I$10&amp;$I$12,'Database - FI'!$B:$DC,92,FALSE))),"",VLOOKUP($I$10&amp;$I$12,'Database - FI'!$B:$DC,92,FALSE)))))</f>
        <v>0.85913771800000005</v>
      </c>
      <c r="N41" s="15"/>
      <c r="O41" s="92"/>
      <c r="P41" s="15"/>
      <c r="Q41" s="15"/>
      <c r="R41" s="15"/>
      <c r="S41" s="15"/>
      <c r="T41" s="15"/>
      <c r="U41" s="15"/>
      <c r="V41" s="15"/>
      <c r="W41" s="15"/>
      <c r="X41" s="15"/>
      <c r="Y41" s="15"/>
      <c r="Z41" s="15"/>
    </row>
    <row r="42" spans="1:26" ht="17.25" customHeight="1" x14ac:dyDescent="0.35">
      <c r="A42" s="15"/>
      <c r="B42" s="15"/>
      <c r="C42" s="15"/>
      <c r="D42" s="15"/>
      <c r="E42" s="15"/>
      <c r="F42" s="157"/>
      <c r="G42" s="157"/>
      <c r="H42" s="157"/>
      <c r="I42" s="157"/>
      <c r="J42" s="157"/>
      <c r="K42" s="157"/>
      <c r="L42" s="15"/>
      <c r="M42" s="15"/>
      <c r="N42" s="15"/>
      <c r="O42" s="92"/>
      <c r="P42" s="15"/>
      <c r="Q42" s="15"/>
      <c r="R42" s="15"/>
      <c r="S42" s="15"/>
      <c r="T42" s="15"/>
      <c r="U42" s="15"/>
      <c r="V42" s="15"/>
      <c r="W42" s="15"/>
      <c r="X42" s="15"/>
      <c r="Y42" s="15"/>
      <c r="Z42" s="15"/>
    </row>
    <row r="43" spans="1:26" ht="36" customHeight="1" x14ac:dyDescent="0.35">
      <c r="A43" s="15"/>
      <c r="B43" s="323" t="s">
        <v>68</v>
      </c>
      <c r="C43" s="323"/>
      <c r="D43" s="323"/>
      <c r="E43" s="15"/>
      <c r="F43" s="317" t="s">
        <v>81</v>
      </c>
      <c r="G43" s="318"/>
      <c r="H43" s="318"/>
      <c r="I43" s="318"/>
      <c r="J43" s="318"/>
      <c r="K43" s="319"/>
      <c r="L43" s="80"/>
      <c r="M43" s="187" t="str">
        <f>IF($I$14="Sovereign Debt","N/A",IF($I$10=" &lt;&lt;&lt; Select Index &gt;&gt;&gt;","",IF(ISERROR(VLOOKUP($I$10&amp;$I$12,'Database - FI'!$B:$DC,30,FALSE))=TRUE,"†",IF(ISBLANK((VLOOKUP($I$10&amp;$I$12,'Database - FI'!$B:$DC,30,FALSE))),"",VLOOKUP($I$10&amp;$I$12,'Database - FI'!$B:$DC,30,FALSE)))))</f>
        <v>-</v>
      </c>
      <c r="N43" s="81"/>
      <c r="O43" s="159" t="s">
        <v>82</v>
      </c>
      <c r="P43" s="15"/>
      <c r="Q43" s="297" t="s">
        <v>83</v>
      </c>
      <c r="R43" s="298"/>
      <c r="S43" s="298"/>
      <c r="T43" s="298"/>
      <c r="U43" s="298"/>
      <c r="V43" s="298"/>
      <c r="W43" s="298"/>
      <c r="X43" s="298"/>
      <c r="Y43" s="299"/>
      <c r="Z43" s="15"/>
    </row>
    <row r="44" spans="1:26" ht="7.5" customHeight="1" x14ac:dyDescent="0.35">
      <c r="A44" s="15"/>
      <c r="B44" s="15"/>
      <c r="C44" s="15"/>
      <c r="D44" s="15"/>
      <c r="E44" s="15"/>
      <c r="F44" s="15"/>
      <c r="G44" s="15"/>
      <c r="H44" s="15"/>
      <c r="I44" s="15"/>
      <c r="J44" s="15"/>
      <c r="K44" s="15"/>
      <c r="L44" s="15"/>
      <c r="M44" s="15"/>
      <c r="N44" s="15"/>
      <c r="O44" s="92"/>
      <c r="P44" s="15"/>
      <c r="Q44" s="15"/>
      <c r="R44" s="15"/>
      <c r="S44" s="15"/>
      <c r="T44" s="15"/>
      <c r="U44" s="15"/>
      <c r="V44" s="15"/>
      <c r="W44" s="15"/>
      <c r="X44" s="15"/>
      <c r="Y44" s="15"/>
      <c r="Z44" s="15"/>
    </row>
    <row r="45" spans="1:26" ht="15" customHeight="1" x14ac:dyDescent="0.35">
      <c r="A45" s="15"/>
      <c r="B45" s="15"/>
      <c r="C45" s="15"/>
      <c r="D45" s="15"/>
      <c r="E45" s="15"/>
      <c r="F45" s="15"/>
      <c r="G45" s="166"/>
      <c r="H45" s="15"/>
      <c r="I45" s="290" t="s">
        <v>30</v>
      </c>
      <c r="J45" s="290"/>
      <c r="K45" s="290"/>
      <c r="L45" s="15"/>
      <c r="M45" s="183">
        <f>IF($I$14="Sovereign Debt","",IF($I$10=" &lt;&lt;&lt; Select Index &gt;&gt;&gt;","",IF(ISERROR(VLOOKUP($I$10&amp;$I$12,'Database - FI'!$B:$DC,32,FALSE))=TRUE,"†",IF(ISBLANK((VLOOKUP($I$10&amp;$I$12,'Database - FI'!$B:$DC,32,FALSE))),"",VLOOKUP($I$10&amp;$I$12,'Database - FI'!$B:$DC,32,FALSE)))))</f>
        <v>0</v>
      </c>
      <c r="N45" s="92"/>
      <c r="O45" s="92"/>
      <c r="P45" s="15"/>
      <c r="Q45" s="15"/>
      <c r="R45" s="15"/>
      <c r="S45" s="15"/>
      <c r="T45" s="15"/>
      <c r="U45" s="15"/>
      <c r="V45" s="15"/>
      <c r="W45" s="15"/>
      <c r="X45" s="15"/>
      <c r="Y45" s="15"/>
      <c r="Z45" s="15"/>
    </row>
    <row r="46" spans="1:26" ht="14.25" customHeight="1" x14ac:dyDescent="0.35">
      <c r="A46" s="15"/>
      <c r="B46" s="15"/>
      <c r="C46" s="15"/>
      <c r="D46" s="15"/>
      <c r="E46" s="15"/>
      <c r="F46" s="15"/>
      <c r="G46" s="15"/>
      <c r="H46" s="15"/>
      <c r="I46" s="290" t="s">
        <v>31</v>
      </c>
      <c r="J46" s="290"/>
      <c r="K46" s="290"/>
      <c r="L46" s="15"/>
      <c r="M46" s="184">
        <f>IF($I$14="Sovereign Debt","",IF($I$10=" &lt;&lt;&lt; Select Index &gt;&gt;&gt;","",IF(ISERROR(VLOOKUP($I$10&amp;$I$12,'Database - FI'!$B:$DC,31,FALSE))=TRUE,"†",IF(ISBLANK((VLOOKUP($I$10&amp;$I$12,'Database - FI'!$B:$DC,31,FALSE))),"",VLOOKUP($I$10&amp;$I$12,'Database - FI'!$B:$DC,31,FALSE)))))</f>
        <v>0</v>
      </c>
      <c r="N46" s="92"/>
      <c r="O46" s="92"/>
      <c r="P46" s="15"/>
      <c r="Q46" s="15"/>
      <c r="R46" s="15"/>
      <c r="S46" s="15"/>
      <c r="T46" s="15"/>
      <c r="U46" s="15"/>
      <c r="V46" s="15"/>
      <c r="W46" s="15"/>
      <c r="X46" s="15"/>
      <c r="Y46" s="15"/>
      <c r="Z46" s="15"/>
    </row>
    <row r="47" spans="1:26" ht="18" customHeight="1" x14ac:dyDescent="0.35">
      <c r="A47" s="15"/>
      <c r="B47" s="15"/>
      <c r="C47" s="15"/>
      <c r="D47" s="15"/>
      <c r="E47" s="15"/>
      <c r="F47" s="15"/>
      <c r="G47" s="15"/>
      <c r="H47" s="15"/>
      <c r="I47" s="15"/>
      <c r="J47" s="15"/>
      <c r="K47" s="15"/>
      <c r="L47" s="15"/>
      <c r="M47" s="15"/>
      <c r="N47" s="15"/>
      <c r="O47" s="92"/>
      <c r="P47" s="15"/>
      <c r="Q47" s="15"/>
      <c r="R47" s="15"/>
      <c r="S47" s="15"/>
      <c r="T47" s="15"/>
      <c r="U47" s="15"/>
      <c r="V47" s="15"/>
      <c r="W47" s="15"/>
      <c r="X47" s="15"/>
      <c r="Y47" s="15"/>
      <c r="Z47" s="15"/>
    </row>
    <row r="48" spans="1:26" ht="36" customHeight="1" x14ac:dyDescent="0.35">
      <c r="A48" s="15"/>
      <c r="B48" s="323" t="s">
        <v>68</v>
      </c>
      <c r="C48" s="323"/>
      <c r="D48" s="323"/>
      <c r="E48" s="15"/>
      <c r="F48" s="317" t="s">
        <v>84</v>
      </c>
      <c r="G48" s="318"/>
      <c r="H48" s="318"/>
      <c r="I48" s="318"/>
      <c r="J48" s="318"/>
      <c r="K48" s="319"/>
      <c r="L48" s="80"/>
      <c r="M48" s="210">
        <f>IF($I$14="Sovereign Debt","N/A",IF($I$10=" &lt;&lt;&lt; Select Index &gt;&gt;&gt;","",IF(ISERROR(VLOOKUP($I$10&amp;$I$12,'Database - FI'!$B:$DC,100,FALSE))=TRUE,"†",IF(ISBLANK((VLOOKUP($I$10&amp;$I$12,'Database - FI'!$B:$DC,100,FALSE))),"",VLOOKUP($I$10&amp;$I$12,'Database - FI'!$B:$DC,100,FALSE)))))</f>
        <v>0.123722649</v>
      </c>
      <c r="N48" s="81"/>
      <c r="O48" s="83" t="s">
        <v>85</v>
      </c>
      <c r="P48" s="15"/>
      <c r="Q48" s="297" t="s">
        <v>86</v>
      </c>
      <c r="R48" s="298"/>
      <c r="S48" s="298"/>
      <c r="T48" s="298"/>
      <c r="U48" s="298"/>
      <c r="V48" s="298"/>
      <c r="W48" s="298"/>
      <c r="X48" s="298"/>
      <c r="Y48" s="299"/>
      <c r="Z48" s="15"/>
    </row>
    <row r="49" spans="1:27" ht="8.25" customHeight="1" x14ac:dyDescent="0.35">
      <c r="A49" s="15"/>
      <c r="B49" s="15"/>
      <c r="C49" s="15"/>
      <c r="D49" s="15"/>
      <c r="E49" s="15"/>
      <c r="F49" s="157"/>
      <c r="G49" s="157"/>
      <c r="H49" s="157"/>
      <c r="I49" s="157"/>
      <c r="J49" s="157"/>
      <c r="K49" s="157"/>
      <c r="L49" s="15"/>
      <c r="M49" s="15"/>
      <c r="N49" s="15"/>
      <c r="O49" s="92"/>
      <c r="P49" s="15"/>
      <c r="Q49" s="15"/>
      <c r="R49" s="15"/>
      <c r="S49" s="15"/>
      <c r="T49" s="15"/>
      <c r="U49" s="15"/>
      <c r="V49" s="15"/>
      <c r="W49" s="15"/>
      <c r="X49" s="15"/>
      <c r="Y49" s="15"/>
      <c r="Z49" s="15"/>
    </row>
    <row r="50" spans="1:27" ht="15" customHeight="1" x14ac:dyDescent="0.35">
      <c r="A50" s="15"/>
      <c r="B50" s="15"/>
      <c r="C50" s="15"/>
      <c r="D50" s="15"/>
      <c r="E50" s="15"/>
      <c r="F50" s="157"/>
      <c r="G50" s="157"/>
      <c r="H50" s="15"/>
      <c r="I50" s="290" t="s">
        <v>30</v>
      </c>
      <c r="J50" s="290"/>
      <c r="K50" s="290"/>
      <c r="L50" s="15"/>
      <c r="M50" s="183">
        <f>IF($I$14="Sovereign Debt","",IF($I$10=" &lt;&lt;&lt; Select Index &gt;&gt;&gt;","",IF(ISERROR(VLOOKUP($I$10&amp;$I$12,'Database - FI'!$B:$DC,102,FALSE))=TRUE,"†",IF(ISBLANK((VLOOKUP($I$10&amp;$I$12,'Database - FI'!$B:$DC,102,FALSE))),"",VLOOKUP($I$10&amp;$I$12,'Database - FI'!$B:$DC,102,FALSE)))))</f>
        <v>175</v>
      </c>
      <c r="N50" s="15"/>
      <c r="O50" s="92"/>
      <c r="P50" s="15"/>
      <c r="Q50" s="15"/>
      <c r="R50" s="15"/>
      <c r="S50" s="15"/>
      <c r="T50" s="15"/>
      <c r="U50" s="15"/>
      <c r="V50" s="15"/>
      <c r="W50" s="15"/>
      <c r="X50" s="15"/>
      <c r="Y50" s="15"/>
      <c r="Z50" s="15"/>
    </row>
    <row r="51" spans="1:27" ht="15" customHeight="1" x14ac:dyDescent="0.35">
      <c r="A51" s="15"/>
      <c r="B51" s="15"/>
      <c r="C51" s="15"/>
      <c r="D51" s="15"/>
      <c r="E51" s="15"/>
      <c r="F51" s="157"/>
      <c r="G51" s="157"/>
      <c r="H51" s="15"/>
      <c r="I51" s="290" t="s">
        <v>31</v>
      </c>
      <c r="J51" s="290"/>
      <c r="K51" s="290"/>
      <c r="L51" s="15"/>
      <c r="M51" s="184">
        <f>IF($I$14="Sovereign Debt","",IF($I$10=" &lt;&lt;&lt; Select Index &gt;&gt;&gt;","",IF(ISERROR(VLOOKUP($I$10&amp;$I$12,'Database - FI'!$B:$DC,101,FALSE))=TRUE,"†",IF(ISBLANK((VLOOKUP($I$10&amp;$I$12,'Database - FI'!$B:$DC,101,FALSE))),"",VLOOKUP($I$10&amp;$I$12,'Database - FI'!$B:$DC,101,FALSE)))))</f>
        <v>0.67055678299999999</v>
      </c>
      <c r="N51" s="15"/>
      <c r="O51" s="92"/>
      <c r="P51" s="15"/>
      <c r="Q51" s="15"/>
      <c r="R51" s="15"/>
      <c r="S51" s="15"/>
      <c r="T51" s="15"/>
      <c r="U51" s="15"/>
      <c r="V51" s="15"/>
      <c r="W51" s="15"/>
      <c r="X51" s="15"/>
      <c r="Y51" s="15"/>
      <c r="Z51" s="15"/>
    </row>
    <row r="52" spans="1:27" ht="15" customHeight="1" x14ac:dyDescent="0.35">
      <c r="A52" s="15"/>
      <c r="B52" s="15"/>
      <c r="C52" s="15"/>
      <c r="D52" s="15"/>
      <c r="E52" s="15"/>
      <c r="F52" s="15"/>
      <c r="G52" s="15"/>
      <c r="H52" s="15"/>
      <c r="I52" s="15"/>
      <c r="J52" s="15"/>
      <c r="K52" s="15"/>
      <c r="L52" s="15"/>
      <c r="M52" s="92"/>
      <c r="N52" s="92"/>
      <c r="O52" s="92"/>
      <c r="P52" s="15"/>
      <c r="Q52" s="15"/>
      <c r="R52" s="15"/>
      <c r="S52" s="15"/>
      <c r="T52" s="15"/>
      <c r="U52" s="15"/>
      <c r="V52" s="15"/>
      <c r="W52" s="15"/>
      <c r="X52" s="15"/>
      <c r="Y52" s="15"/>
      <c r="Z52" s="15"/>
    </row>
    <row r="53" spans="1:27" ht="42" customHeight="1" x14ac:dyDescent="0.35">
      <c r="A53" s="15"/>
      <c r="B53" s="323" t="s">
        <v>68</v>
      </c>
      <c r="C53" s="323"/>
      <c r="D53" s="323"/>
      <c r="E53" s="15"/>
      <c r="F53" s="317" t="s">
        <v>87</v>
      </c>
      <c r="G53" s="318"/>
      <c r="H53" s="318"/>
      <c r="I53" s="318"/>
      <c r="J53" s="318"/>
      <c r="K53" s="319"/>
      <c r="L53" s="80"/>
      <c r="M53" s="217">
        <f>IF($I$14="Sovereign Debt","N/A",IF($I$10=" &lt;&lt;&lt; Select Index &gt;&gt;&gt;","",IF(ISERROR(VLOOKUP($I$10&amp;$I$12,'Database - FI'!$B:$DC,33,FALSE))=TRUE,"†",IF(ISBLANK((VLOOKUP($I$10&amp;$I$12,'Database - FI'!$B:$DC,33,FALSE))),"",VLOOKUP($I$10&amp;$I$12,'Database - FI'!$B:$DC,33,FALSE)))))</f>
        <v>7.9656869000000005E-2</v>
      </c>
      <c r="N53" s="81"/>
      <c r="O53" s="83" t="s">
        <v>88</v>
      </c>
      <c r="P53" s="15"/>
      <c r="Q53" s="297" t="s">
        <v>89</v>
      </c>
      <c r="R53" s="298"/>
      <c r="S53" s="298"/>
      <c r="T53" s="298"/>
      <c r="U53" s="298"/>
      <c r="V53" s="298"/>
      <c r="W53" s="298"/>
      <c r="X53" s="298"/>
      <c r="Y53" s="299"/>
      <c r="Z53" s="15"/>
    </row>
    <row r="54" spans="1:27" ht="8.25" customHeight="1" x14ac:dyDescent="0.35">
      <c r="A54" s="15"/>
      <c r="B54" s="15"/>
      <c r="C54" s="15"/>
      <c r="D54" s="15"/>
      <c r="E54" s="15"/>
      <c r="F54" s="157"/>
      <c r="G54" s="157"/>
      <c r="H54" s="157"/>
      <c r="I54" s="157"/>
      <c r="J54" s="157"/>
      <c r="K54" s="157"/>
      <c r="L54" s="15"/>
      <c r="M54" s="15"/>
      <c r="N54" s="15"/>
      <c r="O54" s="92"/>
      <c r="P54" s="15"/>
      <c r="Q54" s="15"/>
      <c r="R54" s="15"/>
      <c r="S54" s="15"/>
      <c r="T54" s="15"/>
      <c r="U54" s="15"/>
      <c r="V54" s="15"/>
      <c r="W54" s="15"/>
      <c r="X54" s="15"/>
      <c r="Y54" s="15"/>
      <c r="Z54" s="15"/>
    </row>
    <row r="55" spans="1:27" ht="15" customHeight="1" x14ac:dyDescent="0.35">
      <c r="A55" s="15"/>
      <c r="B55" s="15"/>
      <c r="C55" s="15"/>
      <c r="D55" s="15"/>
      <c r="E55" s="15"/>
      <c r="F55" s="157"/>
      <c r="G55" s="157"/>
      <c r="H55" s="15"/>
      <c r="I55" s="290" t="s">
        <v>30</v>
      </c>
      <c r="J55" s="290"/>
      <c r="K55" s="290"/>
      <c r="L55" s="15"/>
      <c r="M55" s="183">
        <f>IF($I$14="Sovereign Debt","",IF($I$10=" &lt;&lt;&lt; Select Index &gt;&gt;&gt;","",IF(ISERROR(VLOOKUP($I$10&amp;$I$12,'Database - FI'!$B:$DC,35,FALSE))=TRUE,"†",IF(ISBLANK((VLOOKUP($I$10&amp;$I$12,'Database - FI'!$B:$DC,35,FALSE))),"",VLOOKUP($I$10&amp;$I$12,'Database - FI'!$B:$DC,35,FALSE)))))</f>
        <v>14</v>
      </c>
      <c r="N55" s="15"/>
      <c r="O55" s="92"/>
      <c r="P55" s="15"/>
      <c r="Q55" s="15"/>
      <c r="R55" s="15"/>
      <c r="S55" s="15"/>
      <c r="T55" s="15"/>
      <c r="U55" s="15"/>
      <c r="V55" s="15"/>
      <c r="W55" s="15"/>
      <c r="X55" s="15"/>
      <c r="Y55" s="15"/>
      <c r="Z55" s="15"/>
    </row>
    <row r="56" spans="1:27" s="70" customFormat="1" ht="15" customHeight="1" x14ac:dyDescent="0.35">
      <c r="A56" s="69"/>
      <c r="B56" s="15"/>
      <c r="C56" s="15"/>
      <c r="D56" s="15"/>
      <c r="E56" s="15"/>
      <c r="F56" s="157"/>
      <c r="G56" s="157"/>
      <c r="H56" s="15"/>
      <c r="I56" s="290" t="s">
        <v>31</v>
      </c>
      <c r="J56" s="290"/>
      <c r="K56" s="290"/>
      <c r="L56" s="15"/>
      <c r="M56" s="184">
        <f>IF($I$14="Sovereign Debt","",IF($I$10=" &lt;&lt;&lt; Select Index &gt;&gt;&gt;","",IF(ISERROR(VLOOKUP($I$10&amp;$I$12,'Database - FI'!$B:$DC,34,FALSE))=TRUE,"†",IF(ISBLANK((VLOOKUP($I$10&amp;$I$12,'Database - FI'!$B:$DC,34,FALSE))),"",VLOOKUP($I$10&amp;$I$12,'Database - FI'!$B:$DC,34,FALSE)))))</f>
        <v>1.8224308000000002E-2</v>
      </c>
      <c r="N56" s="15"/>
      <c r="O56" s="92"/>
      <c r="P56" s="15"/>
      <c r="Q56" s="15"/>
      <c r="R56" s="15"/>
      <c r="S56" s="15"/>
      <c r="T56" s="15"/>
      <c r="U56" s="15"/>
      <c r="V56" s="15"/>
      <c r="W56" s="15"/>
      <c r="X56" s="15"/>
      <c r="Y56" s="15"/>
      <c r="Z56" s="69"/>
      <c r="AA56" s="64"/>
    </row>
    <row r="57" spans="1:27" s="70" customFormat="1" ht="18" customHeight="1" x14ac:dyDescent="0.35">
      <c r="A57" s="69"/>
      <c r="B57" s="15"/>
      <c r="C57" s="15"/>
      <c r="D57" s="15"/>
      <c r="E57" s="15"/>
      <c r="F57" s="157"/>
      <c r="G57" s="157"/>
      <c r="H57" s="157"/>
      <c r="I57" s="157"/>
      <c r="J57" s="157"/>
      <c r="K57" s="157"/>
      <c r="L57" s="15"/>
      <c r="M57" s="15"/>
      <c r="N57" s="15"/>
      <c r="O57" s="92"/>
      <c r="P57" s="15"/>
      <c r="Q57" s="15"/>
      <c r="R57" s="15"/>
      <c r="S57" s="15"/>
      <c r="T57" s="15"/>
      <c r="U57" s="15"/>
      <c r="V57" s="15"/>
      <c r="W57" s="15"/>
      <c r="X57" s="15"/>
      <c r="Y57" s="15"/>
      <c r="Z57" s="69"/>
    </row>
    <row r="58" spans="1:27" s="70" customFormat="1" ht="36" customHeight="1" x14ac:dyDescent="0.35">
      <c r="A58" s="69"/>
      <c r="B58" s="323" t="s">
        <v>68</v>
      </c>
      <c r="C58" s="323"/>
      <c r="D58" s="323"/>
      <c r="E58" s="15"/>
      <c r="F58" s="360" t="s">
        <v>90</v>
      </c>
      <c r="G58" s="355"/>
      <c r="H58" s="355"/>
      <c r="I58" s="355"/>
      <c r="J58" s="355"/>
      <c r="K58" s="361"/>
      <c r="L58" s="80"/>
      <c r="M58" s="218">
        <f>IF($I$14="Sovereign Debt","N/A",IF($I$10=" &lt;&lt;&lt; Select Index &gt;&gt;&gt;","",IF(ISERROR(VLOOKUP($I$10&amp;$I$12,'Database - FI'!$B:$DC,94,FALSE))=TRUE,"†",IF(ISBLANK((VLOOKUP($I$10&amp;$I$12,'Database - FI'!$B:$DC,94,FALSE))),"",VLOOKUP($I$10&amp;$I$12,'Database - FI'!$B:$DC,94,FALSE)))))</f>
        <v>12</v>
      </c>
      <c r="N58" s="81"/>
      <c r="O58" s="83" t="s">
        <v>91</v>
      </c>
      <c r="P58" s="15"/>
      <c r="Q58" s="297" t="s">
        <v>92</v>
      </c>
      <c r="R58" s="298"/>
      <c r="S58" s="298"/>
      <c r="T58" s="298"/>
      <c r="U58" s="298"/>
      <c r="V58" s="298"/>
      <c r="W58" s="298"/>
      <c r="X58" s="298"/>
      <c r="Y58" s="299"/>
      <c r="Z58" s="69"/>
    </row>
    <row r="59" spans="1:27" s="70" customFormat="1" ht="36" customHeight="1" x14ac:dyDescent="0.35">
      <c r="A59" s="69"/>
      <c r="B59" s="167"/>
      <c r="C59" s="167"/>
      <c r="D59" s="167"/>
      <c r="E59" s="15"/>
      <c r="F59" s="362"/>
      <c r="G59" s="363"/>
      <c r="H59" s="363"/>
      <c r="I59" s="363"/>
      <c r="J59" s="363"/>
      <c r="K59" s="364"/>
      <c r="L59" s="80"/>
      <c r="M59" s="218">
        <f>IF($I$14="Sovereign Debt","N/A",IF($I$10=" &lt;&lt;&lt; Select Index &gt;&gt;&gt;","",IF(ISERROR(VLOOKUP($I$10&amp;$I$12,'Database - FI'!$B:$DC,97,FALSE))=TRUE,"†",IF(ISBLANK((VLOOKUP($I$10&amp;$I$12,'Database - FI'!$B:$DC,97,FALSE))),"",VLOOKUP($I$10&amp;$I$12,'Database - FI'!$B:$DC,97,FALSE)))))</f>
        <v>1737300.84</v>
      </c>
      <c r="N59" s="81"/>
      <c r="O59" s="83" t="s">
        <v>93</v>
      </c>
      <c r="P59" s="15"/>
      <c r="Q59" s="297" t="s">
        <v>94</v>
      </c>
      <c r="R59" s="298"/>
      <c r="S59" s="298"/>
      <c r="T59" s="298"/>
      <c r="U59" s="298"/>
      <c r="V59" s="298"/>
      <c r="W59" s="298"/>
      <c r="X59" s="298"/>
      <c r="Y59" s="299"/>
      <c r="Z59" s="69"/>
    </row>
    <row r="60" spans="1:27" s="70" customFormat="1" ht="6" customHeight="1" x14ac:dyDescent="0.35">
      <c r="A60" s="69"/>
      <c r="B60" s="15"/>
      <c r="C60" s="15"/>
      <c r="D60" s="15"/>
      <c r="E60" s="15"/>
      <c r="F60" s="157"/>
      <c r="G60" s="157"/>
      <c r="H60" s="157"/>
      <c r="I60" s="157"/>
      <c r="J60" s="157"/>
      <c r="K60" s="157"/>
      <c r="L60" s="15"/>
      <c r="M60" s="15"/>
      <c r="N60" s="15"/>
      <c r="O60" s="92"/>
      <c r="P60" s="15"/>
      <c r="Q60" s="15"/>
      <c r="R60" s="15"/>
      <c r="S60" s="15"/>
      <c r="T60" s="15"/>
      <c r="U60" s="15"/>
      <c r="V60" s="15"/>
      <c r="W60" s="15"/>
      <c r="X60" s="15"/>
      <c r="Y60" s="15"/>
      <c r="Z60" s="69"/>
    </row>
    <row r="61" spans="1:27" s="70" customFormat="1" ht="15" customHeight="1" x14ac:dyDescent="0.35">
      <c r="A61" s="69"/>
      <c r="B61" s="15"/>
      <c r="C61" s="15"/>
      <c r="D61" s="15"/>
      <c r="E61" s="15"/>
      <c r="F61" s="157"/>
      <c r="G61" s="157"/>
      <c r="H61" s="15"/>
      <c r="I61" s="290" t="s">
        <v>30</v>
      </c>
      <c r="J61" s="290"/>
      <c r="K61" s="290"/>
      <c r="L61" s="15"/>
      <c r="M61" s="183">
        <f>IF($I$14="Sovereign Debt","",IF($I$10=" &lt;&lt;&lt; Select Index &gt;&gt;&gt;","",IF(ISERROR(VLOOKUP($I$10&amp;$I$12,'Database - FI'!$B:$DC,96,FALSE))=TRUE,"†",IF(ISBLANK((VLOOKUP($I$10&amp;$I$12,'Database - FI'!$B:$DC,96,FALSE))),"",VLOOKUP($I$10&amp;$I$12,'Database - FI'!$B:$DC,96,FALSE)))))</f>
        <v>225</v>
      </c>
      <c r="N61" s="15"/>
      <c r="O61" s="92"/>
      <c r="P61" s="15"/>
      <c r="Q61" s="15"/>
      <c r="R61" s="15"/>
      <c r="S61" s="15"/>
      <c r="T61" s="15"/>
      <c r="U61" s="15"/>
      <c r="V61" s="15"/>
      <c r="W61" s="15"/>
      <c r="X61" s="15"/>
      <c r="Y61" s="15"/>
      <c r="Z61" s="69"/>
    </row>
    <row r="62" spans="1:27" s="70" customFormat="1" ht="15" customHeight="1" x14ac:dyDescent="0.35">
      <c r="A62" s="69"/>
      <c r="B62" s="15"/>
      <c r="C62" s="15"/>
      <c r="D62" s="15"/>
      <c r="E62" s="15"/>
      <c r="F62" s="157"/>
      <c r="G62" s="157"/>
      <c r="H62" s="15"/>
      <c r="I62" s="290" t="s">
        <v>31</v>
      </c>
      <c r="J62" s="290"/>
      <c r="K62" s="290"/>
      <c r="L62" s="15"/>
      <c r="M62" s="184">
        <f>IF($I$14="Sovereign Debt","",IF($I$10=" &lt;&lt;&lt; Select Index &gt;&gt;&gt;","",IF(ISERROR(VLOOKUP($I$10&amp;$I$12,'Database - FI'!$B:$DC,95,FALSE))=TRUE,"†",IF(ISBLANK((VLOOKUP($I$10&amp;$I$12,'Database - FI'!$B:$DC,95,FALSE))),"",VLOOKUP($I$10&amp;$I$12,'Database - FI'!$B:$DC,95,FALSE)))))</f>
        <v>0.85913771800000005</v>
      </c>
      <c r="N62" s="15"/>
      <c r="O62" s="92"/>
      <c r="P62" s="15"/>
      <c r="Q62" s="15"/>
      <c r="R62" s="15"/>
      <c r="S62" s="15"/>
      <c r="T62" s="15"/>
      <c r="U62" s="15"/>
      <c r="V62" s="15"/>
      <c r="W62" s="15"/>
      <c r="X62" s="15"/>
      <c r="Y62" s="15"/>
      <c r="Z62" s="69"/>
    </row>
    <row r="63" spans="1:27" s="70" customFormat="1" ht="15.75" customHeight="1" x14ac:dyDescent="0.35">
      <c r="A63" s="69"/>
      <c r="B63" s="15"/>
      <c r="C63" s="15"/>
      <c r="D63" s="15"/>
      <c r="E63" s="15"/>
      <c r="F63" s="15"/>
      <c r="G63" s="15"/>
      <c r="H63" s="15"/>
      <c r="I63" s="15"/>
      <c r="J63" s="15"/>
      <c r="K63" s="15"/>
      <c r="L63" s="15"/>
      <c r="M63" s="15"/>
      <c r="N63" s="81"/>
      <c r="O63" s="92"/>
      <c r="P63" s="15"/>
      <c r="Q63" s="15"/>
      <c r="R63" s="15"/>
      <c r="S63" s="15"/>
      <c r="T63" s="15"/>
      <c r="U63" s="15"/>
      <c r="V63" s="15"/>
      <c r="W63" s="15"/>
      <c r="X63" s="15"/>
      <c r="Y63" s="15"/>
      <c r="Z63" s="69"/>
    </row>
    <row r="64" spans="1:27" s="70" customFormat="1" ht="15" customHeight="1" x14ac:dyDescent="0.35">
      <c r="A64" s="69"/>
      <c r="B64" s="15"/>
      <c r="C64" s="15"/>
      <c r="D64" s="15"/>
      <c r="E64" s="15"/>
      <c r="F64" s="15"/>
      <c r="G64" s="15"/>
      <c r="H64" s="15"/>
      <c r="I64" s="15"/>
      <c r="J64" s="15"/>
      <c r="K64" s="15"/>
      <c r="L64" s="15"/>
      <c r="M64" s="15"/>
      <c r="N64" s="81"/>
      <c r="O64" s="92"/>
      <c r="P64" s="15"/>
      <c r="Q64" s="15"/>
      <c r="R64" s="15"/>
      <c r="S64" s="15"/>
      <c r="T64" s="15"/>
      <c r="U64" s="15"/>
      <c r="V64" s="15"/>
      <c r="W64" s="15"/>
      <c r="X64" s="15"/>
      <c r="Y64" s="15"/>
      <c r="Z64" s="69"/>
    </row>
    <row r="65" spans="1:26" s="70" customFormat="1" ht="15" customHeight="1" x14ac:dyDescent="0.35">
      <c r="A65" s="69"/>
      <c r="B65" s="15"/>
      <c r="C65" s="15"/>
      <c r="D65" s="15"/>
      <c r="E65" s="15"/>
      <c r="F65" s="15"/>
      <c r="G65" s="15"/>
      <c r="H65" s="15"/>
      <c r="I65" s="15"/>
      <c r="J65" s="15"/>
      <c r="K65" s="15"/>
      <c r="L65" s="15"/>
      <c r="M65" s="15"/>
      <c r="N65" s="81"/>
      <c r="O65" s="92"/>
      <c r="P65" s="15"/>
      <c r="Q65" s="15"/>
      <c r="R65" s="15"/>
      <c r="S65" s="15"/>
      <c r="T65" s="15"/>
      <c r="U65" s="15"/>
      <c r="V65" s="15"/>
      <c r="W65" s="15"/>
      <c r="X65" s="15"/>
      <c r="Y65" s="15"/>
      <c r="Z65" s="69"/>
    </row>
    <row r="66" spans="1:26" s="70" customFormat="1" ht="15" customHeight="1" x14ac:dyDescent="0.35">
      <c r="A66" s="69"/>
      <c r="B66" s="15"/>
      <c r="C66" s="15"/>
      <c r="D66" s="15"/>
      <c r="E66" s="15"/>
      <c r="F66" s="15"/>
      <c r="G66" s="15"/>
      <c r="H66" s="15"/>
      <c r="I66" s="15"/>
      <c r="J66" s="15"/>
      <c r="K66" s="15"/>
      <c r="L66" s="15"/>
      <c r="M66" s="15"/>
      <c r="N66" s="81"/>
      <c r="O66" s="92"/>
      <c r="P66" s="15"/>
      <c r="Q66" s="15"/>
      <c r="R66" s="15"/>
      <c r="S66" s="15"/>
      <c r="T66" s="15"/>
      <c r="U66" s="15"/>
      <c r="V66" s="15"/>
      <c r="W66" s="15"/>
      <c r="X66" s="15"/>
      <c r="Y66" s="15"/>
      <c r="Z66" s="69"/>
    </row>
    <row r="67" spans="1:26" s="70" customFormat="1" ht="15" customHeight="1" x14ac:dyDescent="0.35">
      <c r="A67" s="69"/>
      <c r="B67" s="15"/>
      <c r="C67" s="15"/>
      <c r="D67" s="15"/>
      <c r="E67" s="15"/>
      <c r="F67" s="15"/>
      <c r="G67" s="15"/>
      <c r="H67" s="15"/>
      <c r="I67" s="15"/>
      <c r="J67" s="15"/>
      <c r="K67" s="15"/>
      <c r="L67" s="15"/>
      <c r="M67" s="15"/>
      <c r="N67" s="81"/>
      <c r="O67" s="92"/>
      <c r="P67" s="15"/>
      <c r="Q67" s="15"/>
      <c r="R67" s="15"/>
      <c r="S67" s="15"/>
      <c r="T67" s="15"/>
      <c r="U67" s="15"/>
      <c r="V67" s="15"/>
      <c r="W67" s="15"/>
      <c r="X67" s="15"/>
      <c r="Y67" s="15"/>
      <c r="Z67" s="69"/>
    </row>
    <row r="68" spans="1:26" s="70" customFormat="1" ht="15" customHeight="1" x14ac:dyDescent="0.35">
      <c r="A68" s="69"/>
      <c r="B68" s="15"/>
      <c r="C68" s="15"/>
      <c r="D68" s="15"/>
      <c r="E68" s="15"/>
      <c r="F68" s="15"/>
      <c r="G68" s="15"/>
      <c r="H68" s="15"/>
      <c r="I68" s="15"/>
      <c r="J68" s="15"/>
      <c r="K68" s="15"/>
      <c r="L68" s="15"/>
      <c r="M68" s="15"/>
      <c r="N68" s="81"/>
      <c r="O68" s="92"/>
      <c r="P68" s="15"/>
      <c r="Q68" s="15"/>
      <c r="R68" s="15"/>
      <c r="S68" s="15"/>
      <c r="T68" s="15"/>
      <c r="U68" s="15"/>
      <c r="V68" s="15"/>
      <c r="W68" s="15"/>
      <c r="X68" s="15"/>
      <c r="Y68" s="15"/>
      <c r="Z68" s="69"/>
    </row>
    <row r="69" spans="1:26" s="70" customFormat="1" ht="15" customHeight="1" x14ac:dyDescent="0.35">
      <c r="A69" s="69"/>
      <c r="B69" s="15"/>
      <c r="C69" s="15"/>
      <c r="D69" s="15"/>
      <c r="E69" s="15"/>
      <c r="F69" s="15"/>
      <c r="G69" s="15"/>
      <c r="H69" s="15"/>
      <c r="I69" s="15"/>
      <c r="J69" s="15"/>
      <c r="K69" s="15"/>
      <c r="L69" s="15"/>
      <c r="M69" s="15"/>
      <c r="N69" s="81"/>
      <c r="O69" s="92"/>
      <c r="P69" s="15"/>
      <c r="Q69" s="15"/>
      <c r="R69" s="15"/>
      <c r="S69" s="15"/>
      <c r="T69" s="15"/>
      <c r="U69" s="15"/>
      <c r="V69" s="15"/>
      <c r="W69" s="15"/>
      <c r="X69" s="15"/>
      <c r="Y69" s="15"/>
      <c r="Z69" s="69"/>
    </row>
    <row r="70" spans="1:26" s="70" customFormat="1" ht="15" customHeight="1" x14ac:dyDescent="0.35">
      <c r="A70" s="69"/>
      <c r="B70" s="15"/>
      <c r="C70" s="15"/>
      <c r="D70" s="15"/>
      <c r="E70" s="15"/>
      <c r="F70" s="15"/>
      <c r="G70" s="15"/>
      <c r="H70" s="15"/>
      <c r="I70" s="15"/>
      <c r="J70" s="15"/>
      <c r="K70" s="15"/>
      <c r="L70" s="15"/>
      <c r="M70" s="15"/>
      <c r="N70" s="81"/>
      <c r="O70" s="92"/>
      <c r="P70" s="15"/>
      <c r="Q70" s="15"/>
      <c r="R70" s="15"/>
      <c r="S70" s="15"/>
      <c r="T70" s="15"/>
      <c r="U70" s="15"/>
      <c r="V70" s="15"/>
      <c r="W70" s="15"/>
      <c r="X70" s="15"/>
      <c r="Y70" s="15"/>
      <c r="Z70" s="69"/>
    </row>
    <row r="71" spans="1:26" s="70" customFormat="1" ht="14.25" customHeight="1" x14ac:dyDescent="0.35">
      <c r="A71" s="69"/>
      <c r="B71" s="15"/>
      <c r="C71" s="15"/>
      <c r="D71" s="15"/>
      <c r="E71" s="15"/>
      <c r="F71" s="15"/>
      <c r="G71" s="15"/>
      <c r="H71" s="15"/>
      <c r="I71" s="15"/>
      <c r="J71" s="15"/>
      <c r="K71" s="15"/>
      <c r="L71" s="15"/>
      <c r="M71" s="15"/>
      <c r="N71" s="81"/>
      <c r="O71" s="92"/>
      <c r="P71" s="15"/>
      <c r="Q71" s="15"/>
      <c r="R71" s="15"/>
      <c r="S71" s="15"/>
      <c r="T71" s="15"/>
      <c r="U71" s="15"/>
      <c r="V71" s="15"/>
      <c r="W71" s="15"/>
      <c r="X71" s="15"/>
      <c r="Y71" s="15"/>
      <c r="Z71" s="69"/>
    </row>
    <row r="72" spans="1:26" s="70" customFormat="1" ht="15" customHeight="1" x14ac:dyDescent="0.35">
      <c r="A72" s="69"/>
      <c r="B72" s="15"/>
      <c r="C72" s="15"/>
      <c r="D72" s="15"/>
      <c r="E72" s="15"/>
      <c r="F72" s="15"/>
      <c r="G72" s="15"/>
      <c r="H72" s="15"/>
      <c r="I72" s="15"/>
      <c r="J72" s="15"/>
      <c r="K72" s="15"/>
      <c r="L72" s="15"/>
      <c r="M72" s="15"/>
      <c r="N72" s="81"/>
      <c r="O72" s="92"/>
      <c r="P72" s="15"/>
      <c r="Q72" s="15"/>
      <c r="R72" s="15"/>
      <c r="S72" s="15"/>
      <c r="T72" s="15"/>
      <c r="U72" s="15"/>
      <c r="V72" s="15"/>
      <c r="W72" s="15"/>
      <c r="X72" s="15"/>
      <c r="Y72" s="15"/>
      <c r="Z72" s="69"/>
    </row>
    <row r="73" spans="1:26" s="70" customFormat="1" ht="15" customHeight="1" x14ac:dyDescent="0.35">
      <c r="A73" s="69"/>
      <c r="B73" s="15"/>
      <c r="C73" s="15"/>
      <c r="D73" s="15"/>
      <c r="E73" s="15"/>
      <c r="F73" s="15"/>
      <c r="G73" s="15"/>
      <c r="H73" s="15"/>
      <c r="I73" s="15"/>
      <c r="J73" s="15"/>
      <c r="K73" s="15"/>
      <c r="L73" s="15"/>
      <c r="M73" s="15"/>
      <c r="N73" s="81"/>
      <c r="O73" s="92"/>
      <c r="P73" s="15"/>
      <c r="Q73" s="15"/>
      <c r="R73" s="15"/>
      <c r="S73" s="15"/>
      <c r="T73" s="15"/>
      <c r="U73" s="15"/>
      <c r="V73" s="15"/>
      <c r="W73" s="15"/>
      <c r="X73" s="15"/>
      <c r="Y73" s="15"/>
      <c r="Z73" s="69"/>
    </row>
    <row r="74" spans="1:26" ht="14.25" customHeight="1" x14ac:dyDescent="0.35">
      <c r="A74" s="15"/>
      <c r="B74" s="292" t="s">
        <v>95</v>
      </c>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92"/>
    </row>
    <row r="75" spans="1:26" ht="14.25" customHeight="1" x14ac:dyDescent="0.35">
      <c r="A75" s="15"/>
      <c r="B75" s="53" t="s">
        <v>96</v>
      </c>
      <c r="C75" s="8"/>
      <c r="D75" s="8"/>
      <c r="E75" s="8"/>
      <c r="F75" s="8"/>
      <c r="G75" s="8"/>
      <c r="H75" s="8"/>
      <c r="I75" s="8"/>
      <c r="J75" s="8"/>
      <c r="K75" s="8"/>
      <c r="L75" s="8"/>
      <c r="M75" s="8"/>
      <c r="N75" s="8"/>
      <c r="O75" s="8"/>
      <c r="P75" s="8"/>
      <c r="Q75" s="8"/>
      <c r="R75" s="8"/>
      <c r="S75" s="8"/>
      <c r="T75" s="8"/>
      <c r="U75" s="8"/>
      <c r="V75" s="8"/>
      <c r="W75" s="8"/>
      <c r="X75" s="8"/>
      <c r="Y75" s="8"/>
      <c r="Z75" s="92"/>
    </row>
    <row r="76" spans="1:26" ht="14.25" customHeight="1" x14ac:dyDescent="0.35">
      <c r="A76" s="15"/>
      <c r="B76" s="53"/>
      <c r="C76" s="8"/>
      <c r="D76" s="8"/>
      <c r="E76" s="8"/>
      <c r="F76" s="8"/>
      <c r="G76" s="8"/>
      <c r="H76" s="8"/>
      <c r="I76" s="8"/>
      <c r="J76" s="8"/>
      <c r="K76" s="8"/>
      <c r="L76" s="8"/>
      <c r="M76" s="8"/>
      <c r="N76" s="8"/>
      <c r="O76" s="8"/>
      <c r="P76" s="8"/>
      <c r="Q76" s="8"/>
      <c r="R76" s="8"/>
      <c r="S76" s="8"/>
      <c r="T76" s="8"/>
      <c r="U76" s="8"/>
      <c r="V76" s="8"/>
      <c r="W76" s="8"/>
      <c r="X76" s="8"/>
      <c r="Y76" s="8"/>
      <c r="Z76" s="92"/>
    </row>
    <row r="77" spans="1:26" ht="14.25" customHeight="1" x14ac:dyDescent="0.35">
      <c r="A77" s="15"/>
      <c r="B77" s="53"/>
      <c r="C77" s="8"/>
      <c r="D77" s="8"/>
      <c r="E77" s="8"/>
      <c r="F77" s="8"/>
      <c r="G77" s="8"/>
      <c r="H77" s="8"/>
      <c r="I77" s="8"/>
      <c r="J77" s="8"/>
      <c r="K77" s="8"/>
      <c r="L77" s="8"/>
      <c r="M77" s="8"/>
      <c r="N77" s="8"/>
      <c r="O77" s="8"/>
      <c r="P77" s="8"/>
      <c r="Q77" s="8"/>
      <c r="R77" s="8"/>
      <c r="S77" s="8"/>
      <c r="T77" s="8"/>
      <c r="U77" s="8"/>
      <c r="V77" s="8"/>
      <c r="W77" s="8"/>
      <c r="X77" s="8"/>
      <c r="Y77" s="8"/>
      <c r="Z77" s="92"/>
    </row>
  </sheetData>
  <sheetProtection algorithmName="SHA-512" hashValue="5htef8ctP/uJnhY/J+7q4oKhLPIaBig/iM4qPYeXG9l15S1gBM0sU3l2O1/lHOAF+lyhJ/61X2NmxtKGY3gm5w==" saltValue="eVvPqb3EnLTgok72K7f4sg==" spinCount="100000" sheet="1" objects="1" scenarios="1"/>
  <mergeCells count="57">
    <mergeCell ref="F12:G12"/>
    <mergeCell ref="B7:Y7"/>
    <mergeCell ref="B8:G8"/>
    <mergeCell ref="I8:O8"/>
    <mergeCell ref="B10:G10"/>
    <mergeCell ref="I10:O10"/>
    <mergeCell ref="F14:G14"/>
    <mergeCell ref="I14:K14"/>
    <mergeCell ref="F16:G16"/>
    <mergeCell ref="C18:G18"/>
    <mergeCell ref="C19:G19"/>
    <mergeCell ref="B48:D48"/>
    <mergeCell ref="F48:K48"/>
    <mergeCell ref="Q32:Y32"/>
    <mergeCell ref="B38:D38"/>
    <mergeCell ref="F38:K38"/>
    <mergeCell ref="Q38:Y38"/>
    <mergeCell ref="B43:D43"/>
    <mergeCell ref="F43:K43"/>
    <mergeCell ref="Q43:Y43"/>
    <mergeCell ref="I45:K45"/>
    <mergeCell ref="I46:K46"/>
    <mergeCell ref="Q48:Y48"/>
    <mergeCell ref="I50:K50"/>
    <mergeCell ref="I51:K51"/>
    <mergeCell ref="I35:K35"/>
    <mergeCell ref="I36:K36"/>
    <mergeCell ref="I40:K40"/>
    <mergeCell ref="I41:K41"/>
    <mergeCell ref="B74:Y74"/>
    <mergeCell ref="F58:K59"/>
    <mergeCell ref="Q59:Y59"/>
    <mergeCell ref="B53:D53"/>
    <mergeCell ref="F53:K53"/>
    <mergeCell ref="Q53:Y53"/>
    <mergeCell ref="I55:K55"/>
    <mergeCell ref="I56:K56"/>
    <mergeCell ref="B58:D58"/>
    <mergeCell ref="Q58:Y58"/>
    <mergeCell ref="I61:K61"/>
    <mergeCell ref="I62:K62"/>
    <mergeCell ref="S19:U19"/>
    <mergeCell ref="W19:Y19"/>
    <mergeCell ref="F32:K33"/>
    <mergeCell ref="B32:D33"/>
    <mergeCell ref="Q33:Y33"/>
    <mergeCell ref="Q23:Y23"/>
    <mergeCell ref="B25:D25"/>
    <mergeCell ref="F25:K25"/>
    <mergeCell ref="Q25:Y25"/>
    <mergeCell ref="I29:K29"/>
    <mergeCell ref="I30:K30"/>
    <mergeCell ref="B27:D27"/>
    <mergeCell ref="F27:K27"/>
    <mergeCell ref="Q27:Y27"/>
    <mergeCell ref="B23:D23"/>
    <mergeCell ref="F23:K23"/>
  </mergeCells>
  <conditionalFormatting sqref="B25">
    <cfRule type="cellIs" dxfId="44" priority="71" operator="equal">
      <formula>"***"</formula>
    </cfRule>
  </conditionalFormatting>
  <conditionalFormatting sqref="B27">
    <cfRule type="cellIs" dxfId="43" priority="16" operator="equal">
      <formula>"***"</formula>
    </cfRule>
  </conditionalFormatting>
  <conditionalFormatting sqref="B32">
    <cfRule type="cellIs" dxfId="42" priority="15" operator="equal">
      <formula>"***"</formula>
    </cfRule>
  </conditionalFormatting>
  <conditionalFormatting sqref="B38">
    <cfRule type="cellIs" dxfId="41" priority="14" operator="equal">
      <formula>"***"</formula>
    </cfRule>
  </conditionalFormatting>
  <conditionalFormatting sqref="B43">
    <cfRule type="cellIs" dxfId="40" priority="13" operator="equal">
      <formula>"***"</formula>
    </cfRule>
  </conditionalFormatting>
  <conditionalFormatting sqref="B48">
    <cfRule type="cellIs" dxfId="39" priority="12" operator="equal">
      <formula>"***"</formula>
    </cfRule>
  </conditionalFormatting>
  <conditionalFormatting sqref="B53">
    <cfRule type="cellIs" dxfId="38" priority="11" operator="equal">
      <formula>"***"</formula>
    </cfRule>
  </conditionalFormatting>
  <conditionalFormatting sqref="B58:B59">
    <cfRule type="cellIs" dxfId="37" priority="10" operator="equal">
      <formula>"***"</formula>
    </cfRule>
  </conditionalFormatting>
  <conditionalFormatting sqref="M25">
    <cfRule type="cellIs" dxfId="36" priority="79" operator="equal">
      <formula>"***"</formula>
    </cfRule>
  </conditionalFormatting>
  <conditionalFormatting sqref="M27">
    <cfRule type="cellIs" dxfId="35" priority="38" operator="equal">
      <formula>"***"</formula>
    </cfRule>
  </conditionalFormatting>
  <conditionalFormatting sqref="M29:M30">
    <cfRule type="cellIs" dxfId="34" priority="63" operator="equal">
      <formula>"***"</formula>
    </cfRule>
  </conditionalFormatting>
  <conditionalFormatting sqref="M32:M33">
    <cfRule type="cellIs" dxfId="33" priority="35" operator="equal">
      <formula>"***"</formula>
    </cfRule>
  </conditionalFormatting>
  <conditionalFormatting sqref="M35:M36">
    <cfRule type="cellIs" dxfId="32" priority="27" operator="equal">
      <formula>"***"</formula>
    </cfRule>
  </conditionalFormatting>
  <conditionalFormatting sqref="M38">
    <cfRule type="cellIs" dxfId="31" priority="33" operator="equal">
      <formula>"***"</formula>
    </cfRule>
  </conditionalFormatting>
  <conditionalFormatting sqref="M40:M41">
    <cfRule type="cellIs" dxfId="30" priority="26" operator="equal">
      <formula>"***"</formula>
    </cfRule>
  </conditionalFormatting>
  <conditionalFormatting sqref="M43">
    <cfRule type="cellIs" dxfId="29" priority="31" operator="equal">
      <formula>"***"</formula>
    </cfRule>
  </conditionalFormatting>
  <conditionalFormatting sqref="M45:M46">
    <cfRule type="cellIs" dxfId="28" priority="58" operator="equal">
      <formula>"***"</formula>
    </cfRule>
  </conditionalFormatting>
  <conditionalFormatting sqref="M48">
    <cfRule type="cellIs" dxfId="27" priority="29" operator="equal">
      <formula>"***"</formula>
    </cfRule>
  </conditionalFormatting>
  <conditionalFormatting sqref="M50:M51">
    <cfRule type="cellIs" dxfId="26" priority="30" operator="equal">
      <formula>"***"</formula>
    </cfRule>
  </conditionalFormatting>
  <conditionalFormatting sqref="M53">
    <cfRule type="cellIs" dxfId="25" priority="24" operator="equal">
      <formula>"***"</formula>
    </cfRule>
  </conditionalFormatting>
  <conditionalFormatting sqref="M55:M56">
    <cfRule type="cellIs" dxfId="24" priority="25" operator="equal">
      <formula>"***"</formula>
    </cfRule>
  </conditionalFormatting>
  <conditionalFormatting sqref="M58:M59">
    <cfRule type="cellIs" dxfId="23" priority="21" operator="equal">
      <formula>"***"</formula>
    </cfRule>
  </conditionalFormatting>
  <conditionalFormatting sqref="M61:M62">
    <cfRule type="cellIs" dxfId="22" priority="22" operator="equal">
      <formula>"***"</formula>
    </cfRule>
  </conditionalFormatting>
  <printOptions gridLines="1"/>
  <pageMargins left="0" right="0" top="0" bottom="0" header="0.3" footer="0.3"/>
  <pageSetup scale="42" fitToHeight="0" orientation="landscape" r:id="rId1"/>
  <ignoredErrors>
    <ignoredError sqref="I10 I1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FB70-D0D4-4E64-AF49-F3CB9A62E7EA}">
  <sheetPr>
    <tabColor theme="1"/>
    <pageSetUpPr fitToPage="1"/>
  </sheetPr>
  <dimension ref="A1:AF79"/>
  <sheetViews>
    <sheetView zoomScale="85" zoomScaleNormal="85" workbookViewId="0">
      <selection activeCell="A41" sqref="A41"/>
    </sheetView>
  </sheetViews>
  <sheetFormatPr defaultColWidth="9.08984375" defaultRowHeight="14" x14ac:dyDescent="0.3"/>
  <cols>
    <col min="1" max="1" width="5.6328125" style="64" customWidth="1"/>
    <col min="2" max="4" width="5.453125" style="64" customWidth="1"/>
    <col min="5" max="5" width="8.54296875" style="64" customWidth="1"/>
    <col min="6" max="6" width="15.6328125" style="64" customWidth="1"/>
    <col min="7" max="7" width="13.36328125" style="64" customWidth="1"/>
    <col min="8" max="8" width="1.54296875" style="64" customWidth="1"/>
    <col min="9" max="9" width="22.90625" style="64" customWidth="1"/>
    <col min="10" max="10" width="2.36328125" style="64" customWidth="1"/>
    <col min="11" max="11" width="22.90625" style="64" customWidth="1"/>
    <col min="12" max="12" width="1.453125" style="64" customWidth="1"/>
    <col min="13" max="13" width="20.90625" style="64" customWidth="1"/>
    <col min="14" max="14" width="5.6328125" style="64" customWidth="1"/>
    <col min="15" max="15" width="40.90625" style="64" customWidth="1"/>
    <col min="16" max="16" width="2.90625" style="64" customWidth="1"/>
    <col min="17" max="17" width="35.54296875" style="64" customWidth="1"/>
    <col min="18" max="18" width="2.90625" style="64" customWidth="1"/>
    <col min="19" max="19" width="14.36328125" style="64" customWidth="1"/>
    <col min="20" max="20" width="2.90625" style="64" customWidth="1"/>
    <col min="21" max="21" width="11.453125" style="64" customWidth="1"/>
    <col min="22" max="22" width="2.90625" style="64" customWidth="1"/>
    <col min="23" max="24" width="16.36328125" style="64" customWidth="1"/>
    <col min="25" max="25" width="27.54296875" style="64" customWidth="1"/>
    <col min="26" max="26" width="5.6328125" style="64" customWidth="1"/>
    <col min="27" max="27" width="9.08984375" style="64"/>
    <col min="28" max="28" width="14" style="64" customWidth="1"/>
    <col min="29" max="29" width="22.6328125" style="64" customWidth="1"/>
    <col min="30" max="30" width="16.453125" style="64" customWidth="1"/>
    <col min="31" max="31" width="9.08984375" style="64"/>
    <col min="32" max="32" width="13" style="64" customWidth="1"/>
    <col min="33" max="33" width="9.08984375" style="64"/>
    <col min="34" max="34" width="11" style="64" customWidth="1"/>
    <col min="35" max="16384" width="9.08984375" style="64"/>
  </cols>
  <sheetData>
    <row r="1" spans="1:32" ht="75" customHeight="1" x14ac:dyDescent="0.3">
      <c r="A1" s="63"/>
      <c r="B1" s="63"/>
      <c r="C1" s="63"/>
      <c r="D1" s="63"/>
      <c r="E1" s="63"/>
      <c r="F1" s="63"/>
      <c r="G1" s="63"/>
      <c r="H1" s="63"/>
      <c r="I1" s="63"/>
      <c r="J1" s="63"/>
      <c r="K1" s="63"/>
      <c r="L1" s="63"/>
      <c r="M1" s="63"/>
      <c r="N1" s="63"/>
      <c r="O1" s="63"/>
      <c r="P1" s="63"/>
      <c r="Q1" s="63"/>
      <c r="R1" s="63"/>
      <c r="S1" s="63"/>
      <c r="T1" s="63"/>
      <c r="U1" s="63"/>
      <c r="V1" s="63"/>
      <c r="W1" s="63"/>
      <c r="X1" s="63"/>
      <c r="Y1" s="63"/>
      <c r="Z1" s="63"/>
    </row>
    <row r="2" spans="1:32" ht="1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32" ht="30.75" customHeight="1" x14ac:dyDescent="0.3">
      <c r="A3" s="15"/>
      <c r="B3" s="96" t="s">
        <v>649</v>
      </c>
      <c r="C3" s="34"/>
      <c r="D3" s="34"/>
      <c r="E3" s="15"/>
      <c r="F3" s="15"/>
      <c r="G3" s="15"/>
      <c r="H3" s="15"/>
      <c r="I3" s="15"/>
      <c r="J3" s="15"/>
      <c r="K3" s="15"/>
      <c r="L3" s="15"/>
      <c r="M3" s="15"/>
      <c r="N3" s="15"/>
      <c r="O3" s="15"/>
      <c r="P3" s="15"/>
      <c r="Q3" s="15"/>
      <c r="R3" s="15"/>
      <c r="S3" s="15"/>
      <c r="T3" s="15"/>
      <c r="U3" s="15"/>
      <c r="V3" s="15"/>
      <c r="W3" s="15"/>
      <c r="X3" s="15"/>
      <c r="Y3" s="264" t="str">
        <f>'Front Cover'!Y3</f>
        <v>December 2024</v>
      </c>
      <c r="Z3" s="15"/>
    </row>
    <row r="4" spans="1:32" ht="15" customHeight="1" x14ac:dyDescent="0.3">
      <c r="A4" s="15"/>
      <c r="B4" s="34"/>
      <c r="C4" s="34"/>
      <c r="D4" s="34"/>
      <c r="E4" s="15"/>
      <c r="F4" s="15"/>
      <c r="G4" s="15"/>
      <c r="H4" s="15"/>
      <c r="I4" s="15"/>
      <c r="J4" s="15"/>
      <c r="K4" s="15"/>
      <c r="L4" s="15"/>
      <c r="M4" s="15"/>
      <c r="N4" s="15"/>
      <c r="O4" s="15"/>
      <c r="P4" s="15"/>
      <c r="Q4" s="15"/>
      <c r="R4" s="15"/>
      <c r="S4" s="15"/>
      <c r="T4" s="15"/>
      <c r="U4" s="15"/>
      <c r="V4" s="15"/>
      <c r="W4" s="15"/>
      <c r="X4" s="15"/>
      <c r="Y4" s="15"/>
      <c r="Z4" s="15"/>
    </row>
    <row r="5" spans="1:32" ht="21" customHeight="1" x14ac:dyDescent="0.4">
      <c r="A5" s="15"/>
      <c r="B5" s="14" t="s">
        <v>9</v>
      </c>
      <c r="C5" s="14"/>
      <c r="D5" s="14"/>
      <c r="E5" s="15"/>
      <c r="F5" s="15"/>
      <c r="G5" s="15"/>
      <c r="H5" s="15"/>
      <c r="I5" s="15"/>
      <c r="J5" s="15"/>
      <c r="K5" s="15"/>
      <c r="L5" s="15"/>
      <c r="M5" s="15"/>
      <c r="N5" s="15"/>
      <c r="O5" s="15"/>
      <c r="P5" s="15"/>
      <c r="Q5" s="15"/>
      <c r="R5" s="15"/>
      <c r="S5" s="15"/>
      <c r="T5" s="15"/>
      <c r="U5" s="15"/>
      <c r="V5" s="15"/>
      <c r="W5" s="15"/>
      <c r="X5" s="15"/>
      <c r="Y5" s="15"/>
      <c r="Z5" s="15"/>
    </row>
    <row r="6" spans="1:32" ht="15" customHeight="1" x14ac:dyDescent="0.4">
      <c r="A6" s="15"/>
      <c r="B6" s="14"/>
      <c r="C6" s="14"/>
      <c r="D6" s="14"/>
      <c r="E6" s="15"/>
      <c r="F6" s="15"/>
      <c r="G6" s="15"/>
      <c r="H6" s="15"/>
      <c r="I6" s="15"/>
      <c r="J6" s="15"/>
      <c r="K6" s="15"/>
      <c r="L6" s="15"/>
      <c r="M6" s="15"/>
      <c r="N6" s="15"/>
      <c r="O6" s="15"/>
      <c r="P6" s="15"/>
      <c r="Q6" s="15"/>
      <c r="R6" s="15"/>
      <c r="S6" s="15"/>
      <c r="T6" s="15"/>
      <c r="U6" s="15"/>
      <c r="V6" s="15"/>
      <c r="W6" s="15"/>
      <c r="X6" s="15"/>
      <c r="Y6" s="15"/>
      <c r="Z6" s="15"/>
    </row>
    <row r="7" spans="1:32" ht="48.75" customHeight="1" x14ac:dyDescent="0.3">
      <c r="A7" s="15"/>
      <c r="B7" s="328" t="s">
        <v>97</v>
      </c>
      <c r="C7" s="328"/>
      <c r="D7" s="328"/>
      <c r="E7" s="328"/>
      <c r="F7" s="328"/>
      <c r="G7" s="328"/>
      <c r="H7" s="328"/>
      <c r="I7" s="328"/>
      <c r="J7" s="328"/>
      <c r="K7" s="328"/>
      <c r="L7" s="328"/>
      <c r="M7" s="328"/>
      <c r="N7" s="328"/>
      <c r="O7" s="328"/>
      <c r="P7" s="328"/>
      <c r="Q7" s="328"/>
      <c r="R7" s="328"/>
      <c r="S7" s="328"/>
      <c r="T7" s="328"/>
      <c r="U7" s="328"/>
      <c r="V7" s="328"/>
      <c r="W7" s="328"/>
      <c r="X7" s="328"/>
      <c r="Y7" s="328"/>
      <c r="Z7" s="15"/>
    </row>
    <row r="8" spans="1:32" ht="15" customHeight="1" x14ac:dyDescent="0.35">
      <c r="A8" s="15"/>
      <c r="B8" s="334" t="s">
        <v>10</v>
      </c>
      <c r="C8" s="335"/>
      <c r="D8" s="335"/>
      <c r="E8" s="335"/>
      <c r="F8" s="335"/>
      <c r="G8" s="336"/>
      <c r="H8" s="71"/>
      <c r="I8" s="340" t="str">
        <f>'I. ESG Factors Report - FI (1)'!I8</f>
        <v>iBoxx ChinaBond Global Non-Sovereigns China Investment Grade Screened Index Guide</v>
      </c>
      <c r="J8" s="341"/>
      <c r="K8" s="341"/>
      <c r="L8" s="341"/>
      <c r="M8" s="341"/>
      <c r="N8" s="341"/>
      <c r="O8" s="342"/>
      <c r="P8" s="15"/>
      <c r="Q8" s="49"/>
      <c r="R8" s="56"/>
      <c r="S8" s="15"/>
      <c r="T8" s="15"/>
      <c r="U8" s="15"/>
      <c r="V8" s="15"/>
      <c r="W8" s="15"/>
      <c r="X8" s="15"/>
      <c r="Y8" s="15"/>
      <c r="Z8" s="15"/>
    </row>
    <row r="9" spans="1:32" ht="4.5" customHeight="1" x14ac:dyDescent="0.35">
      <c r="A9" s="15"/>
      <c r="B9" s="17"/>
      <c r="C9" s="17"/>
      <c r="D9" s="17"/>
      <c r="E9" s="18"/>
      <c r="F9" s="17"/>
      <c r="G9" s="17"/>
      <c r="H9" s="76"/>
      <c r="I9" s="76"/>
      <c r="J9" s="76"/>
      <c r="K9" s="76"/>
      <c r="L9" s="76"/>
      <c r="M9" s="76"/>
      <c r="N9" s="76"/>
      <c r="O9" s="76"/>
      <c r="P9" s="15"/>
      <c r="Q9" s="77"/>
      <c r="R9" s="15"/>
      <c r="S9" s="15"/>
      <c r="T9" s="15"/>
      <c r="U9" s="15"/>
      <c r="V9" s="15"/>
      <c r="W9" s="15"/>
      <c r="X9" s="15"/>
      <c r="Y9" s="15"/>
      <c r="Z9" s="15"/>
    </row>
    <row r="10" spans="1:32" ht="15" customHeight="1" x14ac:dyDescent="0.35">
      <c r="A10" s="15"/>
      <c r="B10" s="337" t="s">
        <v>11</v>
      </c>
      <c r="C10" s="338"/>
      <c r="D10" s="338"/>
      <c r="E10" s="338"/>
      <c r="F10" s="338"/>
      <c r="G10" s="339"/>
      <c r="H10" s="78"/>
      <c r="I10" s="340" t="str">
        <f>'I. ESG Factors Report - FI (1)'!I10</f>
        <v>iBoxx ChinaBond Global Non-Sovereigns China Investment Grade Screened</v>
      </c>
      <c r="J10" s="341"/>
      <c r="K10" s="341"/>
      <c r="L10" s="341"/>
      <c r="M10" s="341"/>
      <c r="N10" s="341"/>
      <c r="O10" s="342"/>
      <c r="P10" s="15"/>
      <c r="Q10" s="50"/>
      <c r="R10" s="15"/>
      <c r="S10" s="196"/>
      <c r="T10" s="197"/>
      <c r="U10" s="197"/>
      <c r="V10" s="197"/>
      <c r="W10" s="197"/>
      <c r="X10" s="197"/>
      <c r="Y10" s="197"/>
      <c r="Z10" s="15"/>
    </row>
    <row r="11" spans="1:32" ht="7.5" customHeight="1" x14ac:dyDescent="0.3">
      <c r="A11" s="15"/>
      <c r="B11" s="11"/>
      <c r="C11" s="11"/>
      <c r="D11" s="11"/>
      <c r="E11" s="12"/>
      <c r="F11" s="13"/>
      <c r="G11" s="11"/>
      <c r="H11" s="79"/>
      <c r="I11" s="77"/>
      <c r="J11" s="77"/>
      <c r="K11" s="77"/>
      <c r="L11" s="77"/>
      <c r="M11" s="79"/>
      <c r="N11" s="77"/>
      <c r="O11" s="79"/>
      <c r="P11" s="77"/>
      <c r="Q11" s="77"/>
      <c r="R11" s="73"/>
      <c r="S11" s="195"/>
      <c r="T11" s="165"/>
      <c r="U11" s="165"/>
      <c r="V11" s="165"/>
      <c r="W11" s="165"/>
      <c r="X11" s="165"/>
      <c r="Y11" s="165"/>
      <c r="Z11" s="15"/>
    </row>
    <row r="12" spans="1:32" ht="15" customHeight="1" x14ac:dyDescent="0.35">
      <c r="A12" s="15"/>
      <c r="B12" s="11"/>
      <c r="C12" s="11"/>
      <c r="D12" s="11"/>
      <c r="E12" s="12"/>
      <c r="F12" s="337" t="s">
        <v>13</v>
      </c>
      <c r="G12" s="339"/>
      <c r="H12" s="78"/>
      <c r="I12" s="208">
        <f>'I. ESG Factors Report - FI (1)'!I12</f>
        <v>45626</v>
      </c>
      <c r="J12" s="162"/>
      <c r="K12" s="162"/>
      <c r="L12" s="92"/>
      <c r="N12" s="77"/>
      <c r="O12" s="79"/>
      <c r="P12" s="77"/>
      <c r="Q12" s="77"/>
      <c r="R12" s="58"/>
      <c r="S12" s="93" t="s">
        <v>14</v>
      </c>
      <c r="T12" s="74"/>
      <c r="U12" s="165" t="s">
        <v>15</v>
      </c>
      <c r="V12" s="75"/>
      <c r="W12" s="75" t="s">
        <v>655</v>
      </c>
      <c r="X12" s="75"/>
      <c r="Y12" s="75"/>
      <c r="Z12" s="15"/>
    </row>
    <row r="13" spans="1:32" ht="8.25" customHeight="1" x14ac:dyDescent="0.3">
      <c r="A13" s="15"/>
      <c r="B13" s="11"/>
      <c r="C13" s="11"/>
      <c r="D13" s="11"/>
      <c r="E13" s="12"/>
      <c r="F13" s="13"/>
      <c r="G13" s="11"/>
      <c r="H13" s="79"/>
      <c r="I13" s="77"/>
      <c r="J13" s="77"/>
      <c r="K13" s="77"/>
      <c r="L13" s="77"/>
      <c r="M13" s="79"/>
      <c r="N13" s="77"/>
      <c r="O13" s="79"/>
      <c r="P13" s="77"/>
      <c r="Q13" s="77"/>
      <c r="R13" s="77"/>
      <c r="S13" s="97"/>
      <c r="T13" s="163"/>
      <c r="U13" s="165"/>
      <c r="V13" s="75"/>
      <c r="W13" s="75"/>
      <c r="X13" s="75"/>
      <c r="Y13" s="164"/>
      <c r="Z13" s="58"/>
      <c r="AA13" s="58"/>
      <c r="AB13" s="58"/>
      <c r="AC13" s="58"/>
      <c r="AD13" s="58"/>
      <c r="AE13" s="58"/>
      <c r="AF13" s="58"/>
    </row>
    <row r="14" spans="1:32" ht="15" customHeight="1" x14ac:dyDescent="0.35">
      <c r="A14" s="15"/>
      <c r="B14" s="11"/>
      <c r="C14" s="11"/>
      <c r="D14" s="11"/>
      <c r="E14" s="265"/>
      <c r="F14" s="332" t="s">
        <v>650</v>
      </c>
      <c r="G14" s="333"/>
      <c r="H14" s="266"/>
      <c r="I14" s="351" t="str">
        <f>'I. ESG Factors Report - FI (1)'!I14</f>
        <v>Fixed Income</v>
      </c>
      <c r="J14" s="352"/>
      <c r="K14" s="353"/>
      <c r="L14" s="79"/>
      <c r="M14" s="79"/>
      <c r="N14" s="79"/>
      <c r="O14" s="79"/>
      <c r="P14" s="77"/>
      <c r="Q14" s="77"/>
      <c r="R14" s="267"/>
      <c r="S14" s="97"/>
      <c r="T14" s="74"/>
      <c r="U14" s="165" t="s">
        <v>16</v>
      </c>
      <c r="V14" s="75"/>
      <c r="W14" s="75" t="s">
        <v>651</v>
      </c>
      <c r="X14" s="75"/>
      <c r="Y14" s="75"/>
      <c r="Z14" s="58"/>
      <c r="AA14" s="58"/>
      <c r="AB14" s="58"/>
      <c r="AC14" s="58"/>
      <c r="AD14" s="58"/>
      <c r="AE14" s="58"/>
      <c r="AF14" s="58"/>
    </row>
    <row r="15" spans="1:32" ht="15" customHeight="1" x14ac:dyDescent="0.3">
      <c r="A15" s="15"/>
      <c r="B15" s="11"/>
      <c r="C15" s="11"/>
      <c r="D15" s="11"/>
      <c r="E15" s="12"/>
      <c r="F15" s="13"/>
      <c r="G15" s="11"/>
      <c r="H15" s="79"/>
      <c r="I15" s="77"/>
      <c r="J15" s="77"/>
      <c r="K15" s="77"/>
      <c r="L15" s="79"/>
      <c r="M15" s="79"/>
      <c r="N15" s="79"/>
      <c r="O15" s="79"/>
      <c r="P15" s="77"/>
      <c r="Q15" s="77"/>
      <c r="R15" s="55"/>
      <c r="S15" s="204"/>
      <c r="T15" s="194"/>
      <c r="U15" s="194"/>
      <c r="V15" s="194"/>
      <c r="W15" s="194"/>
      <c r="X15" s="194"/>
      <c r="Y15" s="194"/>
      <c r="Z15" s="58"/>
      <c r="AA15" s="58"/>
      <c r="AB15" s="58"/>
      <c r="AC15" s="58"/>
      <c r="AD15" s="58"/>
      <c r="AE15" s="58"/>
      <c r="AF15" s="58"/>
    </row>
    <row r="16" spans="1:32" ht="15.5" x14ac:dyDescent="0.3">
      <c r="A16" s="15"/>
      <c r="B16" s="11"/>
      <c r="C16" s="11"/>
      <c r="D16" s="11"/>
      <c r="E16" s="12"/>
      <c r="F16" s="337" t="s">
        <v>17</v>
      </c>
      <c r="G16" s="339"/>
      <c r="H16" s="79"/>
      <c r="I16" s="176">
        <f>'I. ESG Factors Report - FI (1)'!I16</f>
        <v>243</v>
      </c>
      <c r="J16" s="77"/>
      <c r="K16" s="191" t="s">
        <v>18</v>
      </c>
      <c r="L16" s="79"/>
      <c r="M16" s="79"/>
      <c r="N16" s="77"/>
      <c r="O16" s="79"/>
      <c r="P16" s="77"/>
      <c r="Q16" s="77"/>
      <c r="R16" s="55"/>
      <c r="S16" s="73"/>
      <c r="T16" s="58"/>
      <c r="U16" s="58"/>
      <c r="V16" s="58"/>
      <c r="W16" s="58"/>
      <c r="X16" s="58"/>
      <c r="Y16" s="193"/>
      <c r="Z16" s="58"/>
      <c r="AA16" s="58"/>
      <c r="AB16" s="58"/>
      <c r="AC16" s="58"/>
      <c r="AD16" s="58"/>
      <c r="AE16" s="58"/>
      <c r="AF16" s="58"/>
    </row>
    <row r="17" spans="1:32" ht="8.25" customHeight="1" x14ac:dyDescent="0.35">
      <c r="A17" s="15"/>
      <c r="B17" s="92"/>
      <c r="C17" s="11"/>
      <c r="D17" s="11"/>
      <c r="E17" s="12"/>
      <c r="F17" s="77"/>
      <c r="G17" s="77"/>
      <c r="H17" s="79"/>
      <c r="I17" s="77"/>
      <c r="J17" s="77"/>
      <c r="K17" s="77"/>
      <c r="L17" s="77"/>
      <c r="M17" s="79"/>
      <c r="N17" s="77"/>
      <c r="O17" s="79"/>
      <c r="P17" s="77"/>
      <c r="Q17" s="77"/>
      <c r="R17" s="55"/>
      <c r="S17" s="15"/>
      <c r="T17" s="73"/>
      <c r="U17" s="73"/>
      <c r="V17" s="15"/>
      <c r="W17" s="15"/>
      <c r="X17" s="15"/>
      <c r="Y17" s="57"/>
      <c r="Z17" s="58"/>
      <c r="AA17" s="58"/>
      <c r="AB17" s="58"/>
      <c r="AC17" s="58"/>
      <c r="AD17" s="58"/>
      <c r="AE17" s="58"/>
      <c r="AF17" s="58"/>
    </row>
    <row r="18" spans="1:32" ht="15.75" customHeight="1" x14ac:dyDescent="0.35">
      <c r="A18" s="15"/>
      <c r="B18" s="92"/>
      <c r="C18" s="365" t="s">
        <v>19</v>
      </c>
      <c r="D18" s="365"/>
      <c r="E18" s="365"/>
      <c r="F18" s="365"/>
      <c r="G18" s="365"/>
      <c r="H18" s="79"/>
      <c r="I18" s="179">
        <f>'I. ESG Factors Report - FI (1)'!I18</f>
        <v>243</v>
      </c>
      <c r="J18" s="178"/>
      <c r="K18" s="180">
        <f>'I. ESG Factors Report - FI (1)'!K18</f>
        <v>1</v>
      </c>
      <c r="L18" s="77"/>
      <c r="M18" s="79"/>
      <c r="N18" s="77"/>
      <c r="O18" s="79"/>
      <c r="P18" s="77"/>
      <c r="Q18" s="77"/>
      <c r="R18" s="55"/>
      <c r="S18" s="15"/>
      <c r="T18" s="73"/>
      <c r="U18" s="73"/>
      <c r="V18" s="15"/>
      <c r="W18" s="15"/>
      <c r="X18" s="15"/>
      <c r="Y18" s="57"/>
      <c r="Z18" s="58"/>
      <c r="AA18" s="58"/>
      <c r="AB18" s="58"/>
      <c r="AC18" s="58"/>
      <c r="AD18" s="58"/>
      <c r="AE18" s="58"/>
      <c r="AF18" s="58"/>
    </row>
    <row r="19" spans="1:32" ht="15.75" customHeight="1" x14ac:dyDescent="0.35">
      <c r="A19" s="15"/>
      <c r="B19" s="92"/>
      <c r="C19" s="366" t="s">
        <v>20</v>
      </c>
      <c r="D19" s="366"/>
      <c r="E19" s="366"/>
      <c r="F19" s="366"/>
      <c r="G19" s="366"/>
      <c r="H19" s="79"/>
      <c r="I19" s="176">
        <f>'I. ESG Factors Report - FI (1)'!I19</f>
        <v>0</v>
      </c>
      <c r="J19" s="77"/>
      <c r="K19" s="177">
        <f>'I. ESG Factors Report - FI (1)'!K19</f>
        <v>0</v>
      </c>
      <c r="L19" s="77"/>
      <c r="M19" s="79"/>
      <c r="N19" s="77"/>
      <c r="O19" s="79"/>
      <c r="P19" s="77"/>
      <c r="Q19" s="77"/>
      <c r="R19" s="55"/>
      <c r="S19" s="313" t="s">
        <v>21</v>
      </c>
      <c r="T19" s="314"/>
      <c r="U19" s="315"/>
      <c r="V19" s="15"/>
      <c r="W19" s="344" t="str">
        <f>IF($I$10=" &lt;&lt;&lt; Select Index &gt;&gt;&gt;","",IF(ISERROR(VLOOKUP($I$10&amp;$I$12,'Database - FI'!$B:$DG,110,FALSE))=TRUE,"†",IF(ISBLANK((VLOOKUP($I$10&amp;$I$12,'Database - FI'!$B:$DG,110,FALSE))),"",VLOOKUP($I$10&amp;$I$12,'Database - FI'!$B:$DG,110,FALSE))))</f>
        <v>Sustainalytics</v>
      </c>
      <c r="X19" s="345"/>
      <c r="Y19" s="346"/>
      <c r="Z19" s="58"/>
      <c r="AA19" s="58"/>
      <c r="AB19" s="58"/>
      <c r="AC19" s="58"/>
      <c r="AD19" s="58"/>
      <c r="AE19" s="58"/>
      <c r="AF19" s="58"/>
    </row>
    <row r="20" spans="1:32" ht="18" customHeight="1" x14ac:dyDescent="0.35">
      <c r="A20" s="15"/>
      <c r="B20" s="92"/>
      <c r="C20" s="11"/>
      <c r="D20" s="11"/>
      <c r="E20" s="15"/>
      <c r="F20" s="15"/>
      <c r="G20" s="15"/>
      <c r="H20" s="15"/>
      <c r="I20" s="15"/>
      <c r="J20" s="77"/>
      <c r="K20" s="77"/>
      <c r="L20" s="77"/>
      <c r="M20" s="79"/>
      <c r="N20" s="77"/>
      <c r="O20" s="79"/>
      <c r="P20" s="77"/>
      <c r="Q20" s="77"/>
      <c r="R20" s="55"/>
      <c r="S20" s="15"/>
      <c r="T20" s="73"/>
      <c r="U20" s="73"/>
      <c r="V20" s="15"/>
      <c r="W20" s="15"/>
      <c r="X20" s="15"/>
      <c r="Y20" s="57"/>
      <c r="Z20" s="58"/>
      <c r="AA20" s="58"/>
      <c r="AB20" s="58"/>
      <c r="AC20" s="58"/>
      <c r="AD20" s="58"/>
      <c r="AE20" s="58"/>
      <c r="AF20" s="58"/>
    </row>
    <row r="21" spans="1:32" s="67" customFormat="1" ht="18" x14ac:dyDescent="0.35">
      <c r="A21" s="65"/>
      <c r="B21" s="205" t="s">
        <v>67</v>
      </c>
      <c r="C21" s="206"/>
      <c r="D21" s="206"/>
      <c r="E21" s="207"/>
      <c r="F21" s="207"/>
      <c r="G21" s="207"/>
      <c r="H21" s="207"/>
      <c r="I21" s="207"/>
      <c r="J21" s="207"/>
      <c r="K21" s="207"/>
      <c r="L21" s="207"/>
      <c r="M21" s="207"/>
      <c r="N21" s="207"/>
      <c r="O21" s="207"/>
      <c r="P21" s="207"/>
      <c r="Q21" s="206"/>
      <c r="R21" s="207"/>
      <c r="S21" s="207"/>
      <c r="T21" s="207"/>
      <c r="U21" s="207"/>
      <c r="V21" s="207"/>
      <c r="W21" s="207"/>
      <c r="X21" s="207"/>
      <c r="Y21" s="207"/>
      <c r="Z21" s="65"/>
    </row>
    <row r="22" spans="1:32" ht="7.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32" ht="38.25" customHeight="1" x14ac:dyDescent="0.3">
      <c r="A23" s="15"/>
      <c r="B23" s="291" t="s">
        <v>23</v>
      </c>
      <c r="C23" s="291"/>
      <c r="D23" s="291"/>
      <c r="E23" s="268"/>
      <c r="F23" s="359" t="s">
        <v>652</v>
      </c>
      <c r="G23" s="359"/>
      <c r="H23" s="359"/>
      <c r="I23" s="359"/>
      <c r="J23" s="359"/>
      <c r="K23" s="359"/>
      <c r="L23" s="15"/>
      <c r="M23" s="270" t="s">
        <v>24</v>
      </c>
      <c r="N23" s="15"/>
      <c r="O23" s="272" t="s">
        <v>25</v>
      </c>
      <c r="P23" s="15"/>
      <c r="Q23" s="316" t="s">
        <v>26</v>
      </c>
      <c r="R23" s="316"/>
      <c r="S23" s="316"/>
      <c r="T23" s="316"/>
      <c r="U23" s="316"/>
      <c r="V23" s="316"/>
      <c r="W23" s="316"/>
      <c r="X23" s="316"/>
      <c r="Y23" s="316"/>
      <c r="Z23" s="15"/>
    </row>
    <row r="24" spans="1:32" ht="7.5" customHeight="1" x14ac:dyDescent="0.35">
      <c r="A24" s="15"/>
      <c r="B24" s="15"/>
      <c r="C24" s="15"/>
      <c r="D24" s="15"/>
      <c r="E24" s="15"/>
      <c r="F24" s="15"/>
      <c r="G24" s="15"/>
      <c r="H24" s="15"/>
      <c r="I24" s="15"/>
      <c r="J24" s="15"/>
      <c r="K24" s="15"/>
      <c r="L24" s="15"/>
      <c r="M24" s="15"/>
      <c r="N24" s="15"/>
      <c r="O24" s="15"/>
      <c r="P24" s="15"/>
      <c r="Q24" s="15"/>
      <c r="R24" s="15"/>
      <c r="S24" s="92"/>
      <c r="T24" s="92"/>
      <c r="U24" s="92"/>
      <c r="V24" s="15"/>
      <c r="W24" s="15"/>
      <c r="X24" s="15"/>
      <c r="Y24" s="15"/>
      <c r="Z24" s="15"/>
    </row>
    <row r="25" spans="1:32" ht="32.25" customHeight="1" x14ac:dyDescent="0.35">
      <c r="A25" s="15"/>
      <c r="B25" s="373" t="s">
        <v>98</v>
      </c>
      <c r="C25" s="373"/>
      <c r="D25" s="373"/>
      <c r="E25" s="15"/>
      <c r="F25" s="369" t="s">
        <v>99</v>
      </c>
      <c r="G25" s="370"/>
      <c r="H25" s="370"/>
      <c r="I25" s="370"/>
      <c r="J25" s="370"/>
      <c r="K25" s="371"/>
      <c r="L25" s="80"/>
      <c r="M25" s="218" t="str">
        <f>IF($I$14="Fixed Income","N/A",IF($I$10=" &lt;&lt;&lt; Select Index &gt;&gt;&gt;","",IF(ISERROR(VLOOKUP($I$10&amp;$I$12,'Database - FI'!$B:$DC,85,FALSE))=TRUE,"†",IF(ISBLANK((VLOOKUP($I$10&amp;$I$12,'Database - FI'!$B:$DC,85,FALSE))),"",VLOOKUP($I$10&amp;$I$12,'Database - FI'!$B:$DC,85,FALSE)))))</f>
        <v>N/A</v>
      </c>
      <c r="N25" s="81"/>
      <c r="O25" s="83" t="s">
        <v>76</v>
      </c>
      <c r="P25" s="15"/>
      <c r="Q25" s="297" t="str">
        <f>IF(W19="MSCI",REF!BQ5,REF!BQ4)</f>
        <v>The count of constituents with relevant country events (repression, conflict or corruption) identified by Sustainalytics.</v>
      </c>
      <c r="R25" s="298"/>
      <c r="S25" s="298"/>
      <c r="T25" s="298"/>
      <c r="U25" s="298"/>
      <c r="V25" s="298"/>
      <c r="W25" s="298"/>
      <c r="X25" s="298"/>
      <c r="Y25" s="299"/>
      <c r="Z25" s="15"/>
    </row>
    <row r="26" spans="1:32" ht="45" customHeight="1" x14ac:dyDescent="0.35">
      <c r="A26" s="15"/>
      <c r="B26" s="374"/>
      <c r="C26" s="374"/>
      <c r="D26" s="374"/>
      <c r="E26" s="15"/>
      <c r="F26" s="372"/>
      <c r="G26" s="357"/>
      <c r="H26" s="357"/>
      <c r="I26" s="357"/>
      <c r="J26" s="357"/>
      <c r="K26" s="358"/>
      <c r="L26" s="80"/>
      <c r="M26" s="219" t="str">
        <f>IF($I$14="Fixed Income","N/A",IF($I$10=" &lt;&lt;&lt; Select Index &gt;&gt;&gt;","",IF(M25="-","-",M25/I16)))</f>
        <v>N/A</v>
      </c>
      <c r="N26" s="81"/>
      <c r="O26" s="83" t="s">
        <v>77</v>
      </c>
      <c r="P26" s="15"/>
      <c r="Q26" s="297" t="str">
        <f>IF(W19="MSCI",REF!BR5,REF!BR4)</f>
        <v>The count of constituents with relevant country events (repression, conflict or corruption) identified by Sustainalytics, divided by the total index constituent count.</v>
      </c>
      <c r="R26" s="298"/>
      <c r="S26" s="298"/>
      <c r="T26" s="298"/>
      <c r="U26" s="298"/>
      <c r="V26" s="298"/>
      <c r="W26" s="298"/>
      <c r="X26" s="298"/>
      <c r="Y26" s="299"/>
      <c r="Z26" s="15"/>
    </row>
    <row r="27" spans="1:32" ht="6.75" customHeight="1" x14ac:dyDescent="0.35">
      <c r="A27" s="15"/>
      <c r="B27" s="15"/>
      <c r="C27" s="15"/>
      <c r="D27" s="15"/>
      <c r="E27" s="15"/>
      <c r="F27" s="157"/>
      <c r="G27" s="157"/>
      <c r="H27" s="157"/>
      <c r="I27" s="157"/>
      <c r="J27" s="157"/>
      <c r="K27" s="157"/>
      <c r="L27" s="15"/>
      <c r="M27" s="15"/>
      <c r="N27" s="15"/>
      <c r="O27" s="92"/>
      <c r="P27" s="15"/>
      <c r="Q27" s="15"/>
      <c r="R27" s="15"/>
      <c r="S27" s="15"/>
      <c r="T27" s="15"/>
      <c r="U27" s="15"/>
      <c r="V27" s="15"/>
      <c r="W27" s="15"/>
      <c r="X27" s="15"/>
      <c r="Y27" s="15"/>
      <c r="Z27" s="15"/>
    </row>
    <row r="28" spans="1:32" ht="15" customHeight="1" x14ac:dyDescent="0.35">
      <c r="A28" s="15"/>
      <c r="B28" s="15"/>
      <c r="C28" s="15"/>
      <c r="D28" s="15"/>
      <c r="E28" s="15"/>
      <c r="F28" s="157"/>
      <c r="G28" s="157"/>
      <c r="H28" s="15"/>
      <c r="I28" s="290" t="s">
        <v>30</v>
      </c>
      <c r="J28" s="290"/>
      <c r="K28" s="290"/>
      <c r="L28" s="15"/>
      <c r="M28" s="183" t="str">
        <f>IF($I$14="Fixed Income","",IF($I$10=" &lt;&lt;&lt; Select Index &gt;&gt;&gt;","",IF(ISERROR(VLOOKUP($I$10&amp;$I$12,'Database - FI'!$B:$DC,87,FALSE))=TRUE,"†",IF(ISBLANK((VLOOKUP($I$10&amp;$I$12,'Database - FI'!$B:$DC,87,FALSE))),"",VLOOKUP($I$10&amp;$I$12,'Database - FI'!$B:$DC,87,FALSE)))))</f>
        <v/>
      </c>
      <c r="N28" s="15"/>
      <c r="O28" s="92"/>
      <c r="P28" s="15"/>
      <c r="Q28" s="15"/>
      <c r="R28" s="15"/>
      <c r="S28" s="15"/>
      <c r="T28" s="15"/>
      <c r="U28" s="15"/>
      <c r="V28" s="15"/>
      <c r="W28" s="15"/>
      <c r="X28" s="15"/>
      <c r="Y28" s="15"/>
      <c r="Z28" s="15"/>
    </row>
    <row r="29" spans="1:32" ht="15" customHeight="1" x14ac:dyDescent="0.35">
      <c r="A29" s="15"/>
      <c r="B29" s="15"/>
      <c r="C29" s="15"/>
      <c r="D29" s="15"/>
      <c r="E29" s="15"/>
      <c r="F29" s="157"/>
      <c r="G29" s="157"/>
      <c r="H29" s="15"/>
      <c r="I29" s="290" t="s">
        <v>31</v>
      </c>
      <c r="J29" s="290"/>
      <c r="K29" s="290"/>
      <c r="L29" s="15"/>
      <c r="M29" s="184" t="str">
        <f>IF($I$14="Fixed Income","",IF($I$10=" &lt;&lt;&lt; Select Index &gt;&gt;&gt;","",IF(ISERROR(VLOOKUP($I$10&amp;$I$12,'Database - FI'!$B:$DC,86,FALSE))=TRUE,"†",IF(ISBLANK((VLOOKUP($I$10&amp;$I$12,'Database - FI'!$B:$DC,86,FALSE))),"",VLOOKUP($I$10&amp;$I$12,'Database - FI'!$B:$DC,86,FALSE)))))</f>
        <v/>
      </c>
      <c r="N29" s="15"/>
      <c r="O29" s="92"/>
      <c r="P29" s="15"/>
      <c r="Q29" s="15"/>
      <c r="R29" s="15"/>
      <c r="S29" s="15"/>
      <c r="T29" s="15"/>
      <c r="U29" s="15"/>
      <c r="V29" s="15"/>
      <c r="W29" s="15"/>
      <c r="X29" s="15"/>
      <c r="Y29" s="15"/>
      <c r="Z29" s="15"/>
    </row>
    <row r="30" spans="1:32" ht="18" customHeight="1" x14ac:dyDescent="0.35">
      <c r="A30" s="15"/>
      <c r="B30" s="15"/>
      <c r="C30" s="15"/>
      <c r="D30" s="15"/>
      <c r="E30" s="15"/>
      <c r="F30" s="157"/>
      <c r="G30" s="157"/>
      <c r="H30" s="15"/>
      <c r="I30" s="188"/>
      <c r="J30" s="188"/>
      <c r="K30" s="92"/>
      <c r="L30" s="92"/>
      <c r="M30" s="92"/>
      <c r="N30" s="15"/>
      <c r="O30" s="92"/>
      <c r="P30" s="15"/>
      <c r="Q30" s="15"/>
      <c r="R30" s="15"/>
      <c r="S30" s="15"/>
      <c r="T30" s="15"/>
      <c r="U30" s="15"/>
      <c r="V30" s="15"/>
      <c r="W30" s="15"/>
      <c r="X30" s="15"/>
      <c r="Y30" s="15"/>
      <c r="Z30" s="15"/>
    </row>
    <row r="31" spans="1:32" ht="36.75" customHeight="1" x14ac:dyDescent="0.35">
      <c r="A31" s="15"/>
      <c r="B31" s="293" t="s">
        <v>98</v>
      </c>
      <c r="C31" s="293"/>
      <c r="D31" s="293"/>
      <c r="E31" s="15"/>
      <c r="F31" s="317" t="s">
        <v>100</v>
      </c>
      <c r="G31" s="318"/>
      <c r="H31" s="318"/>
      <c r="I31" s="318"/>
      <c r="J31" s="318"/>
      <c r="K31" s="319"/>
      <c r="L31" s="80"/>
      <c r="M31" s="217" t="str">
        <f>IF($I$14="Fixed Income","N/A",IF($I$10=" &lt;&lt;&lt; Select Index &gt;&gt;&gt;","",IF(ISERROR(VLOOKUP($I$10&amp;$I$12,'Database - FI'!$B:$DC,88,FALSE))=TRUE,"†",IF(ISBLANK((VLOOKUP($I$10&amp;$I$12,'Database - FI'!$B:$DC,88,FALSE))),"",VLOOKUP($I$10&amp;$I$12,'Database - FI'!$B:$DC,88,FALSE)))))</f>
        <v>N/A</v>
      </c>
      <c r="N31" s="81"/>
      <c r="O31" s="83" t="s">
        <v>101</v>
      </c>
      <c r="P31" s="15"/>
      <c r="Q31" s="297" t="str">
        <f>IF(W19="MSCI",REF!BS5,REF!BS4)</f>
        <v>The ‘Weighted-Average Human Rights Score’ is an index weighted average of the Sustainalytics 'Human Rights Score' of index constituents. Scores range between 0 (worst) and 100 (best).</v>
      </c>
      <c r="R31" s="298"/>
      <c r="S31" s="298"/>
      <c r="T31" s="298"/>
      <c r="U31" s="298"/>
      <c r="V31" s="298"/>
      <c r="W31" s="298"/>
      <c r="X31" s="298"/>
      <c r="Y31" s="299"/>
      <c r="Z31" s="15"/>
    </row>
    <row r="32" spans="1:32" ht="6.75" customHeight="1" x14ac:dyDescent="0.35">
      <c r="A32" s="15"/>
      <c r="B32" s="15"/>
      <c r="C32" s="15"/>
      <c r="D32" s="15"/>
      <c r="E32" s="15"/>
      <c r="F32" s="157"/>
      <c r="G32" s="157"/>
      <c r="H32" s="157"/>
      <c r="I32" s="157"/>
      <c r="J32" s="157"/>
      <c r="K32" s="157"/>
      <c r="L32" s="15"/>
      <c r="M32" s="15"/>
      <c r="N32" s="15"/>
      <c r="O32" s="92"/>
      <c r="P32" s="15"/>
      <c r="Q32" s="15"/>
      <c r="R32" s="15"/>
      <c r="S32" s="15"/>
      <c r="T32" s="15"/>
      <c r="U32" s="15"/>
      <c r="V32" s="15"/>
      <c r="W32" s="15"/>
      <c r="X32" s="15"/>
      <c r="Y32" s="15"/>
      <c r="Z32" s="15"/>
    </row>
    <row r="33" spans="1:27" ht="15" customHeight="1" x14ac:dyDescent="0.35">
      <c r="A33" s="15"/>
      <c r="B33" s="15"/>
      <c r="C33" s="15"/>
      <c r="D33" s="15"/>
      <c r="E33" s="15"/>
      <c r="F33" s="157"/>
      <c r="G33" s="157"/>
      <c r="H33" s="15"/>
      <c r="I33" s="290" t="s">
        <v>30</v>
      </c>
      <c r="J33" s="290"/>
      <c r="K33" s="290"/>
      <c r="L33" s="15"/>
      <c r="M33" s="183" t="str">
        <f>IF($I$14="Fixed Income","",IF($I$10=" &lt;&lt;&lt; Select Index &gt;&gt;&gt;","",IF(ISERROR(VLOOKUP($I$10&amp;$I$12,'Database - FI'!$B:$DC,90,FALSE))=TRUE,"†",IF(ISBLANK((VLOOKUP($I$10&amp;$I$12,'Database - FI'!$B:$DC,90,FALSE))),"",VLOOKUP($I$10&amp;$I$12,'Database - FI'!$B:$DC,90,FALSE)))))</f>
        <v/>
      </c>
      <c r="N33" s="15"/>
      <c r="O33" s="92"/>
      <c r="P33" s="15"/>
      <c r="Q33" s="15"/>
      <c r="R33" s="15"/>
      <c r="S33" s="15"/>
      <c r="T33" s="15"/>
      <c r="U33" s="15"/>
      <c r="V33" s="15"/>
      <c r="W33" s="15"/>
      <c r="X33" s="15"/>
      <c r="Y33" s="15"/>
      <c r="Z33" s="15"/>
    </row>
    <row r="34" spans="1:27" ht="15" customHeight="1" x14ac:dyDescent="0.35">
      <c r="A34" s="15"/>
      <c r="B34" s="15"/>
      <c r="C34" s="15"/>
      <c r="D34" s="15"/>
      <c r="E34" s="15"/>
      <c r="F34" s="157"/>
      <c r="G34" s="157"/>
      <c r="H34" s="15"/>
      <c r="I34" s="290" t="s">
        <v>31</v>
      </c>
      <c r="J34" s="290"/>
      <c r="K34" s="290"/>
      <c r="L34" s="15"/>
      <c r="M34" s="184" t="str">
        <f>IF($I$14="Fixed Income","",IF($I$10=" &lt;&lt;&lt; Select Index &gt;&gt;&gt;","",IF(ISERROR(VLOOKUP($I$10&amp;$I$12,'Database - FI'!$B:$DC,89,FALSE))=TRUE,"†",IF(ISBLANK((VLOOKUP($I$10&amp;$I$12,'Database - FI'!$B:$DC,89,FALSE))),"",VLOOKUP($I$10&amp;$I$12,'Database - FI'!$B:$DC,89,FALSE)))))</f>
        <v/>
      </c>
      <c r="N34" s="15"/>
      <c r="O34" s="92"/>
      <c r="P34" s="15"/>
      <c r="Q34" s="15"/>
      <c r="R34" s="15"/>
      <c r="S34" s="15"/>
      <c r="T34" s="15"/>
      <c r="U34" s="15"/>
      <c r="V34" s="15"/>
      <c r="W34" s="15"/>
      <c r="X34" s="15"/>
      <c r="Y34" s="15"/>
      <c r="Z34" s="15"/>
    </row>
    <row r="35" spans="1:27" ht="18" customHeight="1" x14ac:dyDescent="0.35">
      <c r="A35" s="15"/>
      <c r="B35" s="15"/>
      <c r="C35" s="15"/>
      <c r="D35" s="15"/>
      <c r="E35" s="15"/>
      <c r="F35" s="15"/>
      <c r="G35" s="15"/>
      <c r="H35" s="15"/>
      <c r="I35" s="15"/>
      <c r="J35" s="15"/>
      <c r="K35" s="15"/>
      <c r="L35" s="15"/>
      <c r="M35" s="15"/>
      <c r="N35" s="15"/>
      <c r="O35" s="15"/>
      <c r="P35" s="15"/>
      <c r="Q35" s="15"/>
      <c r="R35" s="15"/>
      <c r="S35" s="92"/>
      <c r="T35" s="92"/>
      <c r="U35" s="92"/>
      <c r="V35" s="15"/>
      <c r="W35" s="15"/>
      <c r="X35" s="15"/>
      <c r="Y35" s="15"/>
      <c r="Z35" s="15"/>
    </row>
    <row r="36" spans="1:27" s="70" customFormat="1" ht="36.75" customHeight="1" x14ac:dyDescent="0.35">
      <c r="A36" s="69"/>
      <c r="B36" s="293" t="s">
        <v>98</v>
      </c>
      <c r="C36" s="293"/>
      <c r="D36" s="293"/>
      <c r="E36" s="15"/>
      <c r="F36" s="294" t="s">
        <v>102</v>
      </c>
      <c r="G36" s="295"/>
      <c r="H36" s="295"/>
      <c r="I36" s="295"/>
      <c r="J36" s="295"/>
      <c r="K36" s="296"/>
      <c r="L36" s="80"/>
      <c r="M36" s="217" t="str">
        <f>IF($I$14="Fixed Income","N/A",IF($I$10=" &lt;&lt;&lt; Select Index &gt;&gt;&gt;","",IF(ISERROR(VLOOKUP($I$10&amp;$I$12,'Database - FI'!$B:$DC,24,FALSE))=TRUE,"†",IF(ISBLANK((VLOOKUP($I$10&amp;$I$12,'Database - FI'!$B:$DC,24,FALSE))),"",VLOOKUP($I$10&amp;$I$12,'Database - FI'!$B:$DC,24,FALSE)))))</f>
        <v>N/A</v>
      </c>
      <c r="N36" s="81"/>
      <c r="O36" s="83" t="s">
        <v>103</v>
      </c>
      <c r="P36" s="15"/>
      <c r="Q36" s="297" t="s">
        <v>104</v>
      </c>
      <c r="R36" s="298"/>
      <c r="S36" s="298"/>
      <c r="T36" s="298"/>
      <c r="U36" s="298"/>
      <c r="V36" s="298"/>
      <c r="W36" s="298"/>
      <c r="X36" s="298"/>
      <c r="Y36" s="299"/>
      <c r="Z36" s="69"/>
    </row>
    <row r="37" spans="1:27" s="70" customFormat="1" ht="6" customHeight="1" x14ac:dyDescent="0.35">
      <c r="A37" s="69"/>
      <c r="B37" s="15"/>
      <c r="C37" s="15"/>
      <c r="D37" s="15"/>
      <c r="E37" s="15"/>
      <c r="F37" s="15"/>
      <c r="G37" s="15"/>
      <c r="H37" s="15"/>
      <c r="I37" s="15"/>
      <c r="J37" s="15"/>
      <c r="K37" s="15"/>
      <c r="L37" s="15"/>
      <c r="M37" s="15"/>
      <c r="N37" s="15"/>
      <c r="O37" s="92"/>
      <c r="P37" s="15"/>
      <c r="Q37" s="15"/>
      <c r="R37" s="15"/>
      <c r="S37" s="15"/>
      <c r="T37" s="15"/>
      <c r="U37" s="15"/>
      <c r="V37" s="15"/>
      <c r="W37" s="15"/>
      <c r="X37" s="15"/>
      <c r="Y37" s="15"/>
      <c r="Z37" s="69"/>
    </row>
    <row r="38" spans="1:27" s="70" customFormat="1" ht="15" customHeight="1" x14ac:dyDescent="0.35">
      <c r="A38" s="69"/>
      <c r="B38" s="15"/>
      <c r="C38" s="15"/>
      <c r="D38" s="15"/>
      <c r="E38" s="15"/>
      <c r="F38" s="15"/>
      <c r="G38" s="15"/>
      <c r="H38" s="15"/>
      <c r="I38" s="290" t="s">
        <v>30</v>
      </c>
      <c r="J38" s="290"/>
      <c r="K38" s="290"/>
      <c r="L38" s="15"/>
      <c r="M38" s="183" t="str">
        <f>IF($I$14="Fixed Income","",IF($I$10=" &lt;&lt;&lt; Select Index &gt;&gt;&gt;","",IF(ISERROR(VLOOKUP($I$10&amp;$I$12,'Database - FI'!$B:$DC,26,FALSE))=TRUE,"†",IF(ISBLANK((VLOOKUP($I$10&amp;$I$12,'Database - FI'!$B:$DC,26,FALSE))),"",VLOOKUP($I$10&amp;$I$12,'Database - FI'!$B:$DC,26,FALSE)))))</f>
        <v/>
      </c>
      <c r="N38" s="15"/>
      <c r="O38" s="92"/>
      <c r="P38" s="15"/>
      <c r="Q38" s="15"/>
      <c r="R38" s="15"/>
      <c r="S38" s="15"/>
      <c r="T38" s="15"/>
      <c r="U38" s="15"/>
      <c r="V38" s="15"/>
      <c r="W38" s="15"/>
      <c r="X38" s="15"/>
      <c r="Y38" s="15"/>
      <c r="Z38" s="69"/>
    </row>
    <row r="39" spans="1:27" s="70" customFormat="1" ht="15" customHeight="1" x14ac:dyDescent="0.35">
      <c r="A39" s="69"/>
      <c r="B39" s="15"/>
      <c r="C39" s="15"/>
      <c r="D39" s="15"/>
      <c r="E39" s="15"/>
      <c r="F39" s="15"/>
      <c r="G39" s="15"/>
      <c r="H39" s="15"/>
      <c r="I39" s="290" t="s">
        <v>31</v>
      </c>
      <c r="J39" s="290"/>
      <c r="K39" s="290"/>
      <c r="L39" s="15"/>
      <c r="M39" s="184" t="str">
        <f>IF($I$14="Fixed Income","",IF($I$10=" &lt;&lt;&lt; Select Index &gt;&gt;&gt;","",IF(ISERROR(VLOOKUP($I$10&amp;$I$12,'Database - FI'!$B:$DC,25,FALSE))=TRUE,"†",IF(ISBLANK((VLOOKUP($I$10&amp;$I$12,'Database - FI'!$B:$DC,25,FALSE))),"",VLOOKUP($I$10&amp;$I$12,'Database - FI'!$B:$DC,25,FALSE)))))</f>
        <v/>
      </c>
      <c r="N39" s="15"/>
      <c r="O39" s="92"/>
      <c r="P39" s="15"/>
      <c r="Q39" s="15"/>
      <c r="R39" s="15"/>
      <c r="S39" s="15"/>
      <c r="T39" s="15"/>
      <c r="U39" s="15"/>
      <c r="V39" s="15"/>
      <c r="W39" s="15"/>
      <c r="X39" s="15"/>
      <c r="Y39" s="15"/>
      <c r="Z39" s="69"/>
    </row>
    <row r="40" spans="1:27" s="70" customFormat="1" ht="18" customHeight="1" x14ac:dyDescent="0.35">
      <c r="A40" s="69"/>
      <c r="B40" s="15"/>
      <c r="C40" s="15"/>
      <c r="D40" s="15"/>
      <c r="E40" s="15"/>
      <c r="F40" s="15"/>
      <c r="G40" s="15"/>
      <c r="H40" s="15"/>
      <c r="I40" s="188"/>
      <c r="J40" s="188"/>
      <c r="K40" s="188"/>
      <c r="L40" s="15"/>
      <c r="M40" s="184"/>
      <c r="N40" s="15"/>
      <c r="O40" s="92"/>
      <c r="P40" s="15"/>
      <c r="Q40" s="15"/>
      <c r="R40" s="15"/>
      <c r="S40" s="15"/>
      <c r="T40" s="15"/>
      <c r="U40" s="15"/>
      <c r="V40" s="15"/>
      <c r="W40" s="15"/>
      <c r="X40" s="15"/>
      <c r="Y40" s="15"/>
      <c r="Z40" s="69"/>
    </row>
    <row r="41" spans="1:27" s="70" customFormat="1" ht="32.25" customHeight="1" x14ac:dyDescent="0.35">
      <c r="A41" s="69"/>
      <c r="B41" s="293" t="s">
        <v>98</v>
      </c>
      <c r="C41" s="293"/>
      <c r="D41" s="293"/>
      <c r="E41" s="15"/>
      <c r="F41" s="294" t="s">
        <v>105</v>
      </c>
      <c r="G41" s="295"/>
      <c r="H41" s="295"/>
      <c r="I41" s="295"/>
      <c r="J41" s="295"/>
      <c r="K41" s="296"/>
      <c r="L41" s="80"/>
      <c r="M41" s="217" t="str">
        <f>IF($I$14="Fixed Income","N/A",IF($I$10=" &lt;&lt;&lt; Select Index &gt;&gt;&gt;","",IF(ISERROR(VLOOKUP($I$10&amp;$I$12,'Database - FI'!$B:$DC,27,FALSE))=TRUE,"†",IF(ISBLANK((VLOOKUP($I$10&amp;$I$12,'Database - FI'!$B:$DC,27,FALSE))),"",VLOOKUP($I$10&amp;$I$12,'Database - FI'!$B:$DC,27,FALSE)))))</f>
        <v>N/A</v>
      </c>
      <c r="N41" s="81"/>
      <c r="O41" s="83" t="s">
        <v>106</v>
      </c>
      <c r="P41" s="15"/>
      <c r="Q41" s="297" t="str">
        <f>IF(W19="MSCI",REF!BU5,REF!BU4)</f>
        <v>The ‘Weighted-Average Press Freedom Score’ is an index weighted average of the Sustainalytics 'Voice and Accountabilty Score' of index constituents. Scores range between 0 (worst) and 100 (best).</v>
      </c>
      <c r="R41" s="298"/>
      <c r="S41" s="298"/>
      <c r="T41" s="298"/>
      <c r="U41" s="298"/>
      <c r="V41" s="298"/>
      <c r="W41" s="298"/>
      <c r="X41" s="298"/>
      <c r="Y41" s="299"/>
      <c r="Z41" s="69"/>
    </row>
    <row r="42" spans="1:27" s="70" customFormat="1" ht="6" customHeight="1" x14ac:dyDescent="0.35">
      <c r="A42" s="69"/>
      <c r="B42" s="15"/>
      <c r="C42" s="15"/>
      <c r="D42" s="15"/>
      <c r="E42" s="15"/>
      <c r="F42" s="15"/>
      <c r="G42" s="15"/>
      <c r="H42" s="15"/>
      <c r="I42" s="15"/>
      <c r="J42" s="15"/>
      <c r="K42" s="15"/>
      <c r="L42" s="15"/>
      <c r="M42" s="15"/>
      <c r="N42" s="15"/>
      <c r="O42" s="92"/>
      <c r="P42" s="15"/>
      <c r="Q42" s="15"/>
      <c r="R42" s="15"/>
      <c r="S42" s="15"/>
      <c r="T42" s="15"/>
      <c r="U42" s="15"/>
      <c r="V42" s="15"/>
      <c r="W42" s="15"/>
      <c r="X42" s="15"/>
      <c r="Y42" s="15"/>
      <c r="Z42" s="69"/>
    </row>
    <row r="43" spans="1:27" s="70" customFormat="1" ht="15" customHeight="1" x14ac:dyDescent="0.35">
      <c r="A43" s="69"/>
      <c r="B43" s="15"/>
      <c r="C43" s="15"/>
      <c r="D43" s="15"/>
      <c r="E43" s="15"/>
      <c r="F43" s="15"/>
      <c r="G43" s="15"/>
      <c r="H43" s="15"/>
      <c r="I43" s="290" t="s">
        <v>30</v>
      </c>
      <c r="J43" s="290"/>
      <c r="K43" s="290"/>
      <c r="L43" s="15"/>
      <c r="M43" s="183" t="str">
        <f>IF($I$14="Fixed Income","",IF($I$10=" &lt;&lt;&lt; Select Index &gt;&gt;&gt;","",IF(ISERROR(VLOOKUP($I$10&amp;$I$12,'Database - FI'!$B:$DC,29,FALSE))=TRUE,"†",IF(ISBLANK((VLOOKUP($I$10&amp;$I$12,'Database - FI'!$B:$DC,29,FALSE))),"",VLOOKUP($I$10&amp;$I$12,'Database - FI'!$B:$DC,29,FALSE)))))</f>
        <v/>
      </c>
      <c r="N43" s="15"/>
      <c r="O43" s="92"/>
      <c r="P43" s="15"/>
      <c r="Q43" s="15"/>
      <c r="R43" s="15"/>
      <c r="S43" s="15"/>
      <c r="T43" s="15"/>
      <c r="U43" s="15"/>
      <c r="V43" s="15"/>
      <c r="W43" s="15"/>
      <c r="X43" s="15"/>
      <c r="Y43" s="15"/>
      <c r="Z43" s="69"/>
    </row>
    <row r="44" spans="1:27" s="70" customFormat="1" ht="15" customHeight="1" x14ac:dyDescent="0.35">
      <c r="A44" s="69"/>
      <c r="B44" s="15"/>
      <c r="C44" s="15"/>
      <c r="D44" s="15"/>
      <c r="E44" s="15"/>
      <c r="F44" s="15"/>
      <c r="G44" s="15"/>
      <c r="H44" s="15"/>
      <c r="I44" s="290" t="s">
        <v>31</v>
      </c>
      <c r="J44" s="290"/>
      <c r="K44" s="290"/>
      <c r="L44" s="15"/>
      <c r="M44" s="184" t="str">
        <f>IF($I$14="Fixed Income","",IF($I$10=" &lt;&lt;&lt; Select Index &gt;&gt;&gt;","",IF(ISERROR(VLOOKUP($I$10&amp;$I$12,'Database - FI'!$B:$DC,28,FALSE))=TRUE,"†",IF(ISBLANK((VLOOKUP($I$10&amp;$I$12,'Database - FI'!$B:$DC,28,FALSE))),"",VLOOKUP($I$10&amp;$I$12,'Database - FI'!$B:$DC,28,FALSE)))))</f>
        <v/>
      </c>
      <c r="N44" s="15"/>
      <c r="O44" s="92"/>
      <c r="P44" s="15"/>
      <c r="Q44" s="15"/>
      <c r="R44" s="15"/>
      <c r="S44" s="15"/>
      <c r="T44" s="15"/>
      <c r="U44" s="15"/>
      <c r="V44" s="15"/>
      <c r="W44" s="15"/>
      <c r="X44" s="15"/>
      <c r="Y44" s="15"/>
      <c r="Z44" s="69"/>
      <c r="AA44" s="64"/>
    </row>
    <row r="45" spans="1:27" customFormat="1" ht="45" customHeight="1" x14ac:dyDescent="0.3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7" s="70" customFormat="1" ht="6" customHeight="1" x14ac:dyDescent="0.35">
      <c r="A46" s="69"/>
      <c r="B46" s="15"/>
      <c r="C46" s="15"/>
      <c r="D46" s="15"/>
      <c r="E46" s="15"/>
      <c r="F46" s="15"/>
      <c r="G46" s="15"/>
      <c r="H46" s="15"/>
      <c r="I46" s="81"/>
      <c r="J46" s="81"/>
      <c r="K46" s="81"/>
      <c r="L46" s="81"/>
      <c r="M46" s="81"/>
      <c r="N46" s="81"/>
      <c r="O46" s="92"/>
      <c r="P46" s="15"/>
      <c r="Q46" s="15"/>
      <c r="R46" s="15"/>
      <c r="S46" s="15"/>
      <c r="T46" s="15"/>
      <c r="U46" s="15"/>
      <c r="V46" s="15"/>
      <c r="W46" s="15"/>
      <c r="X46" s="15"/>
      <c r="Y46" s="15"/>
      <c r="Z46" s="69"/>
      <c r="AA46" s="64"/>
    </row>
    <row r="47" spans="1:27"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7" ht="18" x14ac:dyDescent="0.3">
      <c r="A48" s="15"/>
      <c r="B48" s="211" t="s">
        <v>107</v>
      </c>
      <c r="C48" s="212"/>
      <c r="D48" s="212"/>
      <c r="E48" s="213"/>
      <c r="F48" s="213"/>
      <c r="G48" s="213"/>
      <c r="H48" s="213"/>
      <c r="I48" s="213"/>
      <c r="J48" s="213"/>
      <c r="K48" s="213"/>
      <c r="L48" s="213"/>
      <c r="M48" s="213"/>
      <c r="N48" s="213"/>
      <c r="O48" s="213"/>
      <c r="P48" s="213"/>
      <c r="Q48" s="212"/>
      <c r="R48" s="213"/>
      <c r="S48" s="213"/>
      <c r="T48" s="213"/>
      <c r="U48" s="213"/>
      <c r="V48" s="213"/>
      <c r="W48" s="213"/>
      <c r="X48" s="213"/>
      <c r="Y48" s="213"/>
      <c r="Z48" s="15"/>
    </row>
    <row r="49" spans="1:26" ht="8.25" customHeight="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28" x14ac:dyDescent="0.3">
      <c r="A50" s="15"/>
      <c r="B50" s="291" t="s">
        <v>23</v>
      </c>
      <c r="C50" s="291"/>
      <c r="D50" s="291"/>
      <c r="E50" s="192"/>
      <c r="F50" s="367" t="s">
        <v>652</v>
      </c>
      <c r="G50" s="367"/>
      <c r="H50" s="367"/>
      <c r="I50" s="367"/>
      <c r="J50" s="367"/>
      <c r="K50" s="367"/>
      <c r="L50" s="15"/>
      <c r="M50" s="182" t="s">
        <v>24</v>
      </c>
      <c r="N50" s="15"/>
      <c r="O50" s="223" t="s">
        <v>25</v>
      </c>
      <c r="P50" s="15"/>
      <c r="Q50" s="368" t="s">
        <v>26</v>
      </c>
      <c r="R50" s="368"/>
      <c r="S50" s="368"/>
      <c r="T50" s="368"/>
      <c r="U50" s="368"/>
      <c r="V50" s="368"/>
      <c r="W50" s="368"/>
      <c r="X50" s="368"/>
      <c r="Y50" s="368"/>
      <c r="Z50" s="15"/>
    </row>
    <row r="51" spans="1:26" ht="14.5" x14ac:dyDescent="0.35">
      <c r="A51" s="15"/>
      <c r="B51" s="15"/>
      <c r="C51" s="15"/>
      <c r="D51" s="15"/>
      <c r="E51" s="15"/>
      <c r="F51" s="15"/>
      <c r="G51" s="15"/>
      <c r="H51" s="15"/>
      <c r="I51" s="15"/>
      <c r="J51" s="15"/>
      <c r="K51" s="15"/>
      <c r="L51" s="15"/>
      <c r="M51" s="15"/>
      <c r="N51" s="15"/>
      <c r="O51" s="15"/>
      <c r="P51" s="15"/>
      <c r="Q51" s="15"/>
      <c r="R51" s="15"/>
      <c r="S51" s="92"/>
      <c r="T51" s="92"/>
      <c r="U51" s="92"/>
      <c r="V51" s="15"/>
      <c r="W51" s="15"/>
      <c r="X51" s="15"/>
      <c r="Y51" s="15"/>
      <c r="Z51" s="15"/>
    </row>
    <row r="52" spans="1:26" ht="36" customHeight="1" x14ac:dyDescent="0.35">
      <c r="A52" s="15"/>
      <c r="B52" s="293" t="s">
        <v>108</v>
      </c>
      <c r="C52" s="293"/>
      <c r="D52" s="293"/>
      <c r="E52" s="15"/>
      <c r="F52" s="320" t="s">
        <v>109</v>
      </c>
      <c r="G52" s="321"/>
      <c r="H52" s="321"/>
      <c r="I52" s="321"/>
      <c r="J52" s="321"/>
      <c r="K52" s="322"/>
      <c r="L52" s="80"/>
      <c r="M52" s="210" t="str">
        <f>IF($I$14="Fixed Income","N/A",IF($I$10=" &lt;&lt;&lt; Select Index &gt;&gt;&gt;","",IF(ISERROR(VLOOKUP($I$10&amp;$I$12,'Database - FI'!$B:$DC,106,FALSE))=TRUE,"†",IF(ISBLANK((VLOOKUP($I$10&amp;$I$12,'Database - FI'!$B:$DC,106,FALSE))),"",VLOOKUP($I$10&amp;$I$12,'Database - FI'!$B:$DC,106,FALSE)))))</f>
        <v>N/A</v>
      </c>
      <c r="N52" s="81"/>
      <c r="O52" s="214" t="s">
        <v>110</v>
      </c>
      <c r="P52" s="15"/>
      <c r="Q52" s="297" t="str">
        <f>IF(W19="MSCI",REF!BV5,REF!BV4)</f>
        <v>The ‘Weighted-Average Corruption Score’ is an index weighted average of the Sustainalytics 'Corruption Score' of index constituents. Scores range between 0 (worst) and 100 (best).</v>
      </c>
      <c r="R52" s="298"/>
      <c r="S52" s="298"/>
      <c r="T52" s="298"/>
      <c r="U52" s="298"/>
      <c r="V52" s="298"/>
      <c r="W52" s="298"/>
      <c r="X52" s="298"/>
      <c r="Y52" s="299"/>
      <c r="Z52" s="15"/>
    </row>
    <row r="53" spans="1:26" ht="6" customHeight="1" x14ac:dyDescent="0.35">
      <c r="A53" s="15"/>
      <c r="B53" s="15"/>
      <c r="C53" s="15"/>
      <c r="D53" s="15"/>
      <c r="E53" s="15"/>
      <c r="F53" s="15"/>
      <c r="G53" s="15"/>
      <c r="H53" s="15"/>
      <c r="I53" s="15"/>
      <c r="J53" s="15"/>
      <c r="K53" s="15"/>
      <c r="L53" s="15"/>
      <c r="M53" s="15"/>
      <c r="N53" s="15"/>
      <c r="O53" s="92"/>
      <c r="P53" s="15"/>
      <c r="Q53" s="15"/>
      <c r="R53" s="15"/>
      <c r="S53" s="15"/>
      <c r="T53" s="15"/>
      <c r="U53" s="15"/>
      <c r="V53" s="15"/>
      <c r="W53" s="15"/>
      <c r="X53" s="15"/>
      <c r="Y53" s="15"/>
      <c r="Z53" s="15"/>
    </row>
    <row r="54" spans="1:26" ht="14.5" x14ac:dyDescent="0.35">
      <c r="A54" s="15"/>
      <c r="B54" s="15"/>
      <c r="C54" s="15"/>
      <c r="D54" s="15"/>
      <c r="E54" s="15"/>
      <c r="F54" s="15"/>
      <c r="G54" s="15"/>
      <c r="H54" s="15"/>
      <c r="I54" s="290" t="s">
        <v>30</v>
      </c>
      <c r="J54" s="290"/>
      <c r="K54" s="290"/>
      <c r="L54" s="15"/>
      <c r="M54" s="183" t="str">
        <f>IF($I$14="Fixed Income","",IF($I$10=" &lt;&lt;&lt; Select Index &gt;&gt;&gt;","",IF(ISERROR(VLOOKUP($I$10&amp;$I$12,'Database - FI'!$B:$DE,108,FALSE))=TRUE,"†",IF(ISBLANK((VLOOKUP($I$10&amp;$I$12,'Database - FI'!$B:$DE,108,FALSE))),"",VLOOKUP($I$10&amp;$I$12,'Database - FI'!$B:$DE,108,FALSE)))))</f>
        <v/>
      </c>
      <c r="N54" s="15"/>
      <c r="O54" s="92"/>
      <c r="P54" s="15"/>
      <c r="Q54" s="15"/>
      <c r="R54" s="15"/>
      <c r="S54" s="15"/>
      <c r="T54" s="15"/>
      <c r="U54" s="15"/>
      <c r="V54" s="15"/>
      <c r="W54" s="15"/>
      <c r="X54" s="15"/>
      <c r="Y54" s="15"/>
      <c r="Z54" s="15"/>
    </row>
    <row r="55" spans="1:26" ht="14.5" x14ac:dyDescent="0.35">
      <c r="A55" s="15"/>
      <c r="B55" s="15"/>
      <c r="C55" s="15"/>
      <c r="D55" s="15"/>
      <c r="E55" s="15"/>
      <c r="F55" s="15"/>
      <c r="G55" s="15"/>
      <c r="H55" s="15"/>
      <c r="I55" s="290" t="s">
        <v>31</v>
      </c>
      <c r="J55" s="290"/>
      <c r="K55" s="290"/>
      <c r="L55" s="15"/>
      <c r="M55" s="184" t="str">
        <f>IF($I$14="Fixed Income","",IF($I$10=" &lt;&lt;&lt; Select Index &gt;&gt;&gt;","",IF(ISERROR(VLOOKUP($I$10&amp;$I$12,'Database - FI'!$B:$DE,107,FALSE))=TRUE,"†",IF(ISBLANK((VLOOKUP($I$10&amp;$I$12,'Database - FI'!$B:$DE,107,FALSE))),"",VLOOKUP($I$10&amp;$I$12,'Database - FI'!$B:$DE,107,FALSE)))))</f>
        <v/>
      </c>
      <c r="N55" s="15"/>
      <c r="O55" s="92"/>
      <c r="P55" s="15"/>
      <c r="Q55" s="15"/>
      <c r="R55" s="15"/>
      <c r="S55" s="15"/>
      <c r="T55" s="15"/>
      <c r="U55" s="15"/>
      <c r="V55" s="15"/>
      <c r="W55" s="15"/>
      <c r="X55" s="15"/>
      <c r="Y55" s="15"/>
      <c r="Z55" s="15"/>
    </row>
    <row r="56" spans="1:26" ht="18" customHeight="1"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36" customHeight="1" x14ac:dyDescent="0.35">
      <c r="A57" s="15"/>
      <c r="B57" s="293" t="s">
        <v>108</v>
      </c>
      <c r="C57" s="293"/>
      <c r="D57" s="293"/>
      <c r="E57" s="15"/>
      <c r="F57" s="320" t="s">
        <v>111</v>
      </c>
      <c r="G57" s="321"/>
      <c r="H57" s="321"/>
      <c r="I57" s="321"/>
      <c r="J57" s="321"/>
      <c r="K57" s="322"/>
      <c r="L57" s="80"/>
      <c r="M57" s="210" t="str">
        <f>IF($I$14="Fixed Income","N/A",IF($I$10=" &lt;&lt;&lt; Select Index &gt;&gt;&gt;","",IF(ISERROR(VLOOKUP($I$10&amp;$I$12,'Database - FI'!$B:$DC,36,FALSE))=TRUE,"†",IF(ISBLANK((VLOOKUP($I$10&amp;$I$12,'Database - FI'!$B:$DC,36,FALSE))),"",VLOOKUP($I$10&amp;$I$12,'Database - FI'!$B:$DC,36,FALSE)))))</f>
        <v>N/A</v>
      </c>
      <c r="N57" s="81"/>
      <c r="O57" s="214" t="s">
        <v>112</v>
      </c>
      <c r="P57" s="15"/>
      <c r="Q57" s="297" t="str">
        <f>IF(W19="MSCI",REF!BW5,REF!BW4)</f>
        <v>The ‘Weighted-Average Political Stability Score’ is an index weighted average of the Sustainalytics 'Political Stability Score' of index constituents. Scores range between 0 (worst) and 100 (best).</v>
      </c>
      <c r="R57" s="298"/>
      <c r="S57" s="298"/>
      <c r="T57" s="298"/>
      <c r="U57" s="298"/>
      <c r="V57" s="298"/>
      <c r="W57" s="298"/>
      <c r="X57" s="298"/>
      <c r="Y57" s="299"/>
      <c r="Z57" s="15"/>
    </row>
    <row r="58" spans="1:26" ht="6" customHeight="1" x14ac:dyDescent="0.35">
      <c r="A58" s="15"/>
      <c r="B58" s="15"/>
      <c r="C58" s="15"/>
      <c r="D58" s="15"/>
      <c r="E58" s="15"/>
      <c r="F58" s="15"/>
      <c r="G58" s="15"/>
      <c r="H58" s="15"/>
      <c r="I58" s="15"/>
      <c r="J58" s="15"/>
      <c r="K58" s="15"/>
      <c r="L58" s="15"/>
      <c r="M58" s="15"/>
      <c r="N58" s="15"/>
      <c r="O58" s="92"/>
      <c r="P58" s="15"/>
      <c r="Q58" s="15"/>
      <c r="R58" s="15"/>
      <c r="S58" s="15"/>
      <c r="T58" s="15"/>
      <c r="U58" s="15"/>
      <c r="V58" s="15"/>
      <c r="W58" s="15"/>
      <c r="X58" s="15"/>
      <c r="Y58" s="15"/>
      <c r="Z58" s="15"/>
    </row>
    <row r="59" spans="1:26" ht="14.5" x14ac:dyDescent="0.35">
      <c r="A59" s="15"/>
      <c r="B59" s="15"/>
      <c r="C59" s="15"/>
      <c r="D59" s="15"/>
      <c r="E59" s="15"/>
      <c r="F59" s="15"/>
      <c r="G59" s="15"/>
      <c r="H59" s="15"/>
      <c r="I59" s="290" t="s">
        <v>30</v>
      </c>
      <c r="J59" s="290"/>
      <c r="K59" s="290"/>
      <c r="L59" s="15"/>
      <c r="M59" s="183" t="str">
        <f>IF($I$14="Fixed Income","",IF($I$10=" &lt;&lt;&lt; Select Index &gt;&gt;&gt;","",IF(ISERROR(VLOOKUP($I$10&amp;$I$12,'Database - FI'!$B:$DC,38,FALSE))=TRUE,"†",IF(ISBLANK((VLOOKUP($I$10&amp;$I$12,'Database - FI'!$B:$DC,38,FALSE))),"",VLOOKUP($I$10&amp;$I$12,'Database - FI'!$B:$DC,38,FALSE)))))</f>
        <v/>
      </c>
      <c r="N59" s="15"/>
      <c r="O59" s="92"/>
      <c r="P59" s="15"/>
      <c r="Q59" s="15"/>
      <c r="R59" s="15"/>
      <c r="S59" s="15"/>
      <c r="T59" s="15"/>
      <c r="U59" s="15"/>
      <c r="V59" s="15"/>
      <c r="W59" s="15"/>
      <c r="X59" s="15"/>
      <c r="Y59" s="15"/>
      <c r="Z59" s="15"/>
    </row>
    <row r="60" spans="1:26" ht="14.5" x14ac:dyDescent="0.35">
      <c r="A60" s="15"/>
      <c r="B60" s="15"/>
      <c r="C60" s="15"/>
      <c r="D60" s="15"/>
      <c r="E60" s="15"/>
      <c r="F60" s="15"/>
      <c r="G60" s="15"/>
      <c r="H60" s="15"/>
      <c r="I60" s="290" t="s">
        <v>31</v>
      </c>
      <c r="J60" s="290"/>
      <c r="K60" s="290"/>
      <c r="L60" s="15"/>
      <c r="M60" s="184" t="str">
        <f>IF($I$14="Fixed Income","",IF($I$10=" &lt;&lt;&lt; Select Index &gt;&gt;&gt;","",IF(ISERROR(VLOOKUP($I$10&amp;$I$12,'Database - FI'!$B:$DC,37,FALSE))=TRUE,"†",IF(ISBLANK((VLOOKUP($I$10&amp;$I$12,'Database - FI'!$B:$DC,37,FALSE))),"",VLOOKUP($I$10&amp;$I$12,'Database - FI'!$B:$DC,37,FALSE)))))</f>
        <v/>
      </c>
      <c r="N60" s="15"/>
      <c r="O60" s="92"/>
      <c r="P60" s="15"/>
      <c r="Q60" s="15"/>
      <c r="R60" s="15"/>
      <c r="S60" s="15"/>
      <c r="T60" s="15"/>
      <c r="U60" s="15"/>
      <c r="V60" s="15"/>
      <c r="W60" s="15"/>
      <c r="X60" s="15"/>
      <c r="Y60" s="15"/>
      <c r="Z60" s="15"/>
    </row>
    <row r="61" spans="1:26" ht="18"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36" customHeight="1" x14ac:dyDescent="0.35">
      <c r="A62" s="15"/>
      <c r="B62" s="293" t="s">
        <v>108</v>
      </c>
      <c r="C62" s="293"/>
      <c r="D62" s="293"/>
      <c r="E62" s="15"/>
      <c r="F62" s="320" t="s">
        <v>113</v>
      </c>
      <c r="G62" s="321"/>
      <c r="H62" s="321"/>
      <c r="I62" s="321"/>
      <c r="J62" s="321"/>
      <c r="K62" s="322"/>
      <c r="L62" s="80"/>
      <c r="M62" s="210" t="str">
        <f>IF($I$14="Fixed Income","N/A",IF($I$10=" &lt;&lt;&lt; Select Index &gt;&gt;&gt;","",IF(ISERROR(VLOOKUP($I$10&amp;$I$12,'Database - FI'!$B:$DC,39,FALSE))=TRUE,"†",IF(ISBLANK((VLOOKUP($I$10&amp;$I$12,'Database - FI'!$B:$DC,39,FALSE))),"",VLOOKUP($I$10&amp;$I$12,'Database - FI'!$B:$DC,39,FALSE)))))</f>
        <v>N/A</v>
      </c>
      <c r="N62" s="81"/>
      <c r="O62" s="214" t="s">
        <v>114</v>
      </c>
      <c r="P62" s="15"/>
      <c r="Q62" s="297" t="str">
        <f>IF(W19="MSCI",REF!BX5,REF!BX4)</f>
        <v>The ‘Weighted-Average Rule of Law Score’ is an index weighted average of the Sustainalytics 'Rule of Law Score' of index constituents. Scores range between 0 (worst) and 100 (best).</v>
      </c>
      <c r="R62" s="298"/>
      <c r="S62" s="298"/>
      <c r="T62" s="298"/>
      <c r="U62" s="298"/>
      <c r="V62" s="298"/>
      <c r="W62" s="298"/>
      <c r="X62" s="298"/>
      <c r="Y62" s="299"/>
      <c r="Z62" s="15"/>
    </row>
    <row r="63" spans="1:26" ht="6" customHeight="1" x14ac:dyDescent="0.35">
      <c r="A63" s="15"/>
      <c r="B63" s="15"/>
      <c r="C63" s="15"/>
      <c r="D63" s="15"/>
      <c r="E63" s="15"/>
      <c r="F63" s="15"/>
      <c r="G63" s="15"/>
      <c r="H63" s="15"/>
      <c r="I63" s="15"/>
      <c r="J63" s="15"/>
      <c r="K63" s="15"/>
      <c r="L63" s="15"/>
      <c r="M63" s="15"/>
      <c r="N63" s="15"/>
      <c r="O63" s="92"/>
      <c r="P63" s="15"/>
      <c r="Q63" s="15"/>
      <c r="R63" s="15"/>
      <c r="S63" s="15"/>
      <c r="T63" s="15"/>
      <c r="U63" s="15"/>
      <c r="V63" s="15"/>
      <c r="W63" s="15"/>
      <c r="X63" s="15"/>
      <c r="Y63" s="15"/>
      <c r="Z63" s="15"/>
    </row>
    <row r="64" spans="1:26" ht="14.5" x14ac:dyDescent="0.35">
      <c r="A64" s="15"/>
      <c r="B64" s="15"/>
      <c r="C64" s="15"/>
      <c r="D64" s="15"/>
      <c r="E64" s="15"/>
      <c r="F64" s="15"/>
      <c r="G64" s="15"/>
      <c r="H64" s="15"/>
      <c r="I64" s="290" t="s">
        <v>30</v>
      </c>
      <c r="J64" s="290"/>
      <c r="K64" s="290"/>
      <c r="L64" s="15"/>
      <c r="M64" s="183" t="str">
        <f>IF($I$14="Fixed Income","",IF($I$10=" &lt;&lt;&lt; Select Index &gt;&gt;&gt;","",IF(ISERROR(VLOOKUP($I$10&amp;$I$12,'Database - FI'!$B:$DC,41,FALSE))=TRUE,"†",IF(ISBLANK((VLOOKUP($I$10&amp;$I$12,'Database - FI'!$B:$DC,41,FALSE))),"",VLOOKUP($I$10&amp;$I$12,'Database - FI'!$B:$DC,41,FALSE)))))</f>
        <v/>
      </c>
      <c r="N64" s="15"/>
      <c r="O64" s="92"/>
      <c r="P64" s="15"/>
      <c r="Q64" s="15"/>
      <c r="R64" s="15"/>
      <c r="S64" s="15"/>
      <c r="T64" s="15"/>
      <c r="U64" s="15"/>
      <c r="V64" s="15"/>
      <c r="W64" s="15"/>
      <c r="X64" s="15"/>
      <c r="Y64" s="15"/>
      <c r="Z64" s="15"/>
    </row>
    <row r="65" spans="1:26" ht="14.5" x14ac:dyDescent="0.35">
      <c r="A65" s="15"/>
      <c r="B65" s="15"/>
      <c r="C65" s="15"/>
      <c r="D65" s="15"/>
      <c r="E65" s="15"/>
      <c r="F65" s="15"/>
      <c r="G65" s="15"/>
      <c r="H65" s="15"/>
      <c r="I65" s="290" t="s">
        <v>31</v>
      </c>
      <c r="J65" s="290"/>
      <c r="K65" s="290"/>
      <c r="L65" s="15"/>
      <c r="M65" s="184" t="str">
        <f>IF($I$14="Fixed Income","",IF($I$10=" &lt;&lt;&lt; Select Index &gt;&gt;&gt;","",IF(ISERROR(VLOOKUP($I$10&amp;$I$12,'Database - FI'!$B:$DC,40,FALSE))=TRUE,"†",IF(ISBLANK((VLOOKUP($I$10&amp;$I$12,'Database - FI'!$B:$DC,40,FALSE))),"",VLOOKUP($I$10&amp;$I$12,'Database - FI'!$B:$DC,40,FALSE)))))</f>
        <v/>
      </c>
      <c r="N65" s="15"/>
      <c r="O65" s="92"/>
      <c r="P65" s="15"/>
      <c r="Q65" s="15"/>
      <c r="R65" s="15"/>
      <c r="S65" s="15"/>
      <c r="T65" s="15"/>
      <c r="U65" s="15"/>
      <c r="V65" s="15"/>
      <c r="W65" s="15"/>
      <c r="X65" s="15"/>
      <c r="Y65" s="15"/>
      <c r="Z65" s="15"/>
    </row>
    <row r="66" spans="1:26" ht="18"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3">
      <c r="A76" s="15"/>
      <c r="B76" s="292" t="s">
        <v>115</v>
      </c>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15"/>
    </row>
    <row r="77" spans="1:26" x14ac:dyDescent="0.3">
      <c r="A77" s="15"/>
      <c r="B77" s="53" t="s">
        <v>64</v>
      </c>
      <c r="C77" s="8"/>
      <c r="D77" s="8"/>
      <c r="E77" s="8"/>
      <c r="F77" s="8"/>
      <c r="G77" s="8"/>
      <c r="H77" s="8"/>
      <c r="I77" s="8"/>
      <c r="J77" s="8"/>
      <c r="K77" s="8"/>
      <c r="L77" s="8"/>
      <c r="M77" s="8"/>
      <c r="N77" s="8"/>
      <c r="O77" s="8"/>
      <c r="P77" s="8"/>
      <c r="Q77" s="8"/>
      <c r="R77" s="8"/>
      <c r="S77" s="8"/>
      <c r="T77" s="8"/>
      <c r="U77" s="8"/>
      <c r="V77" s="8"/>
      <c r="W77" s="8"/>
      <c r="X77" s="8"/>
      <c r="Y77" s="8"/>
      <c r="Z77" s="15"/>
    </row>
    <row r="78" spans="1:26" x14ac:dyDescent="0.3">
      <c r="A78" s="15"/>
      <c r="B78" s="53"/>
      <c r="C78" s="8"/>
      <c r="D78" s="8"/>
      <c r="E78" s="8"/>
      <c r="F78" s="8"/>
      <c r="G78" s="8"/>
      <c r="H78" s="8"/>
      <c r="I78" s="8"/>
      <c r="J78" s="8"/>
      <c r="K78" s="8"/>
      <c r="L78" s="8"/>
      <c r="M78" s="8"/>
      <c r="N78" s="8"/>
      <c r="O78" s="8"/>
      <c r="P78" s="8"/>
      <c r="Q78" s="8"/>
      <c r="R78" s="8"/>
      <c r="S78" s="8"/>
      <c r="T78" s="8"/>
      <c r="U78" s="8"/>
      <c r="V78" s="8"/>
      <c r="W78" s="8"/>
      <c r="X78" s="8"/>
      <c r="Y78" s="8"/>
      <c r="Z78" s="15"/>
    </row>
    <row r="79" spans="1:26" x14ac:dyDescent="0.3">
      <c r="A79" s="15"/>
      <c r="B79" s="53"/>
      <c r="C79" s="8"/>
      <c r="D79" s="8"/>
      <c r="E79" s="8"/>
      <c r="F79" s="8"/>
      <c r="G79" s="8"/>
      <c r="H79" s="8"/>
      <c r="I79" s="8"/>
      <c r="J79" s="8"/>
      <c r="K79" s="8"/>
      <c r="L79" s="8"/>
      <c r="M79" s="8"/>
      <c r="N79" s="8"/>
      <c r="O79" s="8"/>
      <c r="P79" s="8"/>
      <c r="Q79" s="8"/>
      <c r="R79" s="8"/>
      <c r="S79" s="8"/>
      <c r="T79" s="8"/>
      <c r="U79" s="8"/>
      <c r="V79" s="8"/>
      <c r="W79" s="8"/>
      <c r="X79" s="8"/>
      <c r="Y79" s="8"/>
      <c r="Z79" s="15"/>
    </row>
  </sheetData>
  <sheetProtection algorithmName="SHA-512" hashValue="qdDz4TI8mp+otLJngFPKQPGSVbgcZzcvcqxq8dzm+VfT9tnvewWdgMwQTFumFKP5Cx1xFc1rVigbgN6XdemVpg==" saltValue="ISHsI7KcXTZZG+mO8JUIUw==" spinCount="100000" sheet="1" objects="1" scenarios="1"/>
  <mergeCells count="56">
    <mergeCell ref="F12:G12"/>
    <mergeCell ref="B7:Y7"/>
    <mergeCell ref="B8:G8"/>
    <mergeCell ref="I8:O8"/>
    <mergeCell ref="B10:G10"/>
    <mergeCell ref="I10:O10"/>
    <mergeCell ref="I33:K33"/>
    <mergeCell ref="I34:K34"/>
    <mergeCell ref="Q23:Y23"/>
    <mergeCell ref="F14:G14"/>
    <mergeCell ref="I14:K14"/>
    <mergeCell ref="F16:G16"/>
    <mergeCell ref="C18:G18"/>
    <mergeCell ref="C19:G19"/>
    <mergeCell ref="B23:D23"/>
    <mergeCell ref="F23:K23"/>
    <mergeCell ref="I29:K29"/>
    <mergeCell ref="B31:D31"/>
    <mergeCell ref="F31:K31"/>
    <mergeCell ref="Q31:Y31"/>
    <mergeCell ref="F25:K26"/>
    <mergeCell ref="B25:D26"/>
    <mergeCell ref="B36:D36"/>
    <mergeCell ref="F36:K36"/>
    <mergeCell ref="Q36:Y36"/>
    <mergeCell ref="I38:K38"/>
    <mergeCell ref="B50:D50"/>
    <mergeCell ref="F50:K50"/>
    <mergeCell ref="Q50:Y50"/>
    <mergeCell ref="B76:Y76"/>
    <mergeCell ref="I64:K64"/>
    <mergeCell ref="I59:K59"/>
    <mergeCell ref="I39:K39"/>
    <mergeCell ref="B41:D41"/>
    <mergeCell ref="F41:K41"/>
    <mergeCell ref="Q41:Y41"/>
    <mergeCell ref="I43:K43"/>
    <mergeCell ref="I44:K44"/>
    <mergeCell ref="B52:D52"/>
    <mergeCell ref="I60:K60"/>
    <mergeCell ref="I65:K65"/>
    <mergeCell ref="B62:D62"/>
    <mergeCell ref="F62:K62"/>
    <mergeCell ref="Q62:Y62"/>
    <mergeCell ref="I55:K55"/>
    <mergeCell ref="F52:K52"/>
    <mergeCell ref="Q52:Y52"/>
    <mergeCell ref="I54:K54"/>
    <mergeCell ref="B57:D57"/>
    <mergeCell ref="F57:K57"/>
    <mergeCell ref="Q57:Y57"/>
    <mergeCell ref="Q26:Y26"/>
    <mergeCell ref="S19:U19"/>
    <mergeCell ref="W19:Y19"/>
    <mergeCell ref="Q25:Y25"/>
    <mergeCell ref="I28:K28"/>
  </mergeCells>
  <conditionalFormatting sqref="B25">
    <cfRule type="cellIs" dxfId="21" priority="6" operator="equal">
      <formula>"***"</formula>
    </cfRule>
  </conditionalFormatting>
  <conditionalFormatting sqref="B31">
    <cfRule type="cellIs" dxfId="20" priority="3" operator="equal">
      <formula>"***"</formula>
    </cfRule>
  </conditionalFormatting>
  <conditionalFormatting sqref="B36">
    <cfRule type="cellIs" dxfId="19" priority="22" operator="equal">
      <formula>"***"</formula>
    </cfRule>
  </conditionalFormatting>
  <conditionalFormatting sqref="B41">
    <cfRule type="cellIs" dxfId="18" priority="21" operator="equal">
      <formula>"***"</formula>
    </cfRule>
  </conditionalFormatting>
  <conditionalFormatting sqref="B52">
    <cfRule type="cellIs" dxfId="17" priority="17" operator="equal">
      <formula>"***"</formula>
    </cfRule>
  </conditionalFormatting>
  <conditionalFormatting sqref="B57">
    <cfRule type="cellIs" dxfId="16" priority="13" operator="equal">
      <formula>"***"</formula>
    </cfRule>
  </conditionalFormatting>
  <conditionalFormatting sqref="B62">
    <cfRule type="cellIs" dxfId="15" priority="9" operator="equal">
      <formula>"***"</formula>
    </cfRule>
  </conditionalFormatting>
  <conditionalFormatting sqref="M25:M26">
    <cfRule type="cellIs" dxfId="14" priority="7" operator="equal">
      <formula>"***"</formula>
    </cfRule>
  </conditionalFormatting>
  <conditionalFormatting sqref="M28:M29">
    <cfRule type="cellIs" dxfId="13" priority="8" operator="equal">
      <formula>"***"</formula>
    </cfRule>
  </conditionalFormatting>
  <conditionalFormatting sqref="M31">
    <cfRule type="cellIs" dxfId="12" priority="4" operator="equal">
      <formula>"***"</formula>
    </cfRule>
  </conditionalFormatting>
  <conditionalFormatting sqref="M33:M34">
    <cfRule type="cellIs" dxfId="11" priority="5" operator="equal">
      <formula>"***"</formula>
    </cfRule>
  </conditionalFormatting>
  <conditionalFormatting sqref="M36">
    <cfRule type="cellIs" dxfId="10" priority="2" operator="equal">
      <formula>"***"</formula>
    </cfRule>
  </conditionalFormatting>
  <conditionalFormatting sqref="M38:M41">
    <cfRule type="cellIs" dxfId="9" priority="1" operator="equal">
      <formula>"***"</formula>
    </cfRule>
  </conditionalFormatting>
  <conditionalFormatting sqref="M43:M44">
    <cfRule type="cellIs" dxfId="8" priority="23" operator="equal">
      <formula>"***"</formula>
    </cfRule>
  </conditionalFormatting>
  <conditionalFormatting sqref="M52">
    <cfRule type="cellIs" dxfId="7" priority="20" operator="equal">
      <formula>"***"</formula>
    </cfRule>
  </conditionalFormatting>
  <conditionalFormatting sqref="M54:M55">
    <cfRule type="cellIs" dxfId="6" priority="18" operator="equal">
      <formula>"***"</formula>
    </cfRule>
  </conditionalFormatting>
  <conditionalFormatting sqref="M57">
    <cfRule type="cellIs" dxfId="5" priority="16" operator="equal">
      <formula>"***"</formula>
    </cfRule>
  </conditionalFormatting>
  <conditionalFormatting sqref="M59:M60">
    <cfRule type="cellIs" dxfId="4" priority="14" operator="equal">
      <formula>"***"</formula>
    </cfRule>
  </conditionalFormatting>
  <conditionalFormatting sqref="M62">
    <cfRule type="cellIs" dxfId="3" priority="12" operator="equal">
      <formula>"***"</formula>
    </cfRule>
  </conditionalFormatting>
  <conditionalFormatting sqref="M64:M65">
    <cfRule type="cellIs" dxfId="2" priority="10" operator="equal">
      <formula>"***"</formula>
    </cfRule>
  </conditionalFormatting>
  <printOptions gridLines="1"/>
  <pageMargins left="0" right="0" top="0" bottom="0" header="0.3" footer="0.3"/>
  <pageSetup scale="42" fitToHeight="0" orientation="landscape" r:id="rId1"/>
  <ignoredErrors>
    <ignoredError sqref="I1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A8E1-8411-437B-AE27-FBA3222A68EF}">
  <sheetPr codeName="Sheet4">
    <tabColor theme="1"/>
    <pageSetUpPr fitToPage="1"/>
  </sheetPr>
  <dimension ref="A1:V154"/>
  <sheetViews>
    <sheetView zoomScale="85" zoomScaleNormal="85" workbookViewId="0">
      <selection activeCell="U13" sqref="U13"/>
    </sheetView>
  </sheetViews>
  <sheetFormatPr defaultColWidth="9.08984375" defaultRowHeight="14" x14ac:dyDescent="0.3"/>
  <cols>
    <col min="1" max="1" width="5.6328125" style="64" customWidth="1"/>
    <col min="2" max="2" width="18.54296875" style="64" customWidth="1"/>
    <col min="3" max="3" width="19.54296875" style="64" customWidth="1"/>
    <col min="4" max="4" width="17.453125" style="64" customWidth="1"/>
    <col min="5" max="5" width="1.54296875" style="64" customWidth="1"/>
    <col min="6" max="9" width="18.90625" style="64" customWidth="1"/>
    <col min="10" max="10" width="19" style="64" customWidth="1"/>
    <col min="11" max="11" width="17.453125" style="64" customWidth="1"/>
    <col min="12" max="12" width="18.54296875" style="64" customWidth="1"/>
    <col min="13" max="13" width="16.36328125" style="64" customWidth="1"/>
    <col min="14" max="14" width="18.54296875" style="64" customWidth="1"/>
    <col min="15" max="15" width="17.6328125" style="64" customWidth="1"/>
    <col min="16" max="16" width="5.36328125" style="64" customWidth="1"/>
    <col min="17" max="18" width="17.6328125" style="64" customWidth="1"/>
    <col min="19" max="19" width="5.6328125" style="64" customWidth="1"/>
    <col min="20" max="20" width="9.08984375" style="64"/>
    <col min="21" max="21" width="14" style="64" customWidth="1"/>
    <col min="22" max="22" width="22.6328125" style="64" customWidth="1"/>
    <col min="23" max="23" width="16.453125" style="64" customWidth="1"/>
    <col min="24" max="24" width="9.08984375" style="64"/>
    <col min="25" max="25" width="13" style="64" customWidth="1"/>
    <col min="26" max="26" width="9.08984375" style="64"/>
    <col min="27" max="27" width="11" style="64" customWidth="1"/>
    <col min="28" max="16384" width="9.08984375" style="64"/>
  </cols>
  <sheetData>
    <row r="1" spans="1:22" ht="75" customHeight="1" x14ac:dyDescent="0.3">
      <c r="A1" s="63"/>
      <c r="B1" s="63"/>
      <c r="C1" s="63"/>
      <c r="D1" s="63"/>
      <c r="E1" s="63"/>
      <c r="F1" s="63"/>
      <c r="G1" s="63"/>
      <c r="H1" s="63"/>
      <c r="I1" s="63"/>
      <c r="J1" s="63"/>
      <c r="K1" s="63"/>
      <c r="L1" s="63"/>
      <c r="M1" s="63"/>
      <c r="N1" s="63"/>
      <c r="O1" s="63"/>
      <c r="P1" s="63"/>
      <c r="Q1" s="63"/>
      <c r="R1" s="63"/>
      <c r="S1" s="63"/>
    </row>
    <row r="2" spans="1:22" ht="15" customHeight="1" x14ac:dyDescent="0.3">
      <c r="A2" s="15"/>
      <c r="B2" s="15"/>
      <c r="C2" s="15"/>
      <c r="D2" s="15"/>
      <c r="E2" s="15"/>
      <c r="F2" s="15"/>
      <c r="G2" s="15"/>
      <c r="H2" s="15"/>
      <c r="I2" s="15"/>
      <c r="J2" s="15"/>
      <c r="K2" s="15"/>
      <c r="L2" s="15"/>
      <c r="M2" s="15"/>
      <c r="N2" s="15"/>
      <c r="O2" s="15"/>
      <c r="P2" s="15"/>
      <c r="Q2" s="15"/>
      <c r="R2" s="15"/>
      <c r="S2" s="15"/>
    </row>
    <row r="3" spans="1:22" ht="30.75" customHeight="1" x14ac:dyDescent="0.35">
      <c r="A3" s="15"/>
      <c r="B3" s="96" t="str">
        <f>IF($F$10=" &lt;&lt;&lt; Select Index &gt;&gt;&gt;","S&amp;P Dow Jones Indices Paris-Aligned &amp; Climate Transition Index Historical Rebalance Results",IF(VLOOKUP($F$10,PAB_CTB_Database!$C:$G,5,FALSE)="CT","S&amp;P Dow Jones Indices Climate Transition Index Historical Rebalance Results",IF(VLOOKUP($F$10,PAB_CTB_Database!$C:$G,5,FALSE)="PA","S&amp;P Dow Jones Indices Paris-Aligned Index Historical Rebalance Results","S&amp;P Dow Jones Indices Paris-Aligned &amp; Climate Transition Index Historical Rebalance Results")))</f>
        <v>S&amp;P Dow Jones Indices Paris-Aligned Index Historical Rebalance Results</v>
      </c>
      <c r="C3" s="15"/>
      <c r="D3" s="15"/>
      <c r="E3" s="15"/>
      <c r="F3" s="15"/>
      <c r="G3" s="15"/>
      <c r="H3" s="15"/>
      <c r="I3" s="15"/>
      <c r="J3" s="15"/>
      <c r="K3" s="15"/>
      <c r="L3" s="15"/>
      <c r="M3" s="15"/>
      <c r="N3" s="15"/>
      <c r="O3" s="35"/>
      <c r="P3" s="35"/>
      <c r="Q3" s="35"/>
      <c r="R3" s="229" t="str">
        <f>'Front Cover'!Y3</f>
        <v>December 2024</v>
      </c>
      <c r="S3" s="15"/>
      <c r="V3" s="91"/>
    </row>
    <row r="4" spans="1:22" ht="36" customHeight="1" x14ac:dyDescent="0.3">
      <c r="A4" s="15"/>
      <c r="B4" s="107" t="s">
        <v>117</v>
      </c>
      <c r="C4" s="15"/>
      <c r="D4" s="15"/>
      <c r="E4" s="15"/>
      <c r="F4" s="15"/>
      <c r="G4" s="15"/>
      <c r="H4" s="15"/>
      <c r="I4" s="15"/>
      <c r="J4" s="15"/>
      <c r="K4" s="15"/>
      <c r="L4" s="15"/>
      <c r="M4" s="15"/>
      <c r="N4" s="15"/>
      <c r="O4" s="15"/>
      <c r="P4" s="15"/>
      <c r="Q4" s="15"/>
      <c r="R4" s="15"/>
      <c r="S4" s="15"/>
    </row>
    <row r="5" spans="1:22" ht="26.25" customHeight="1" x14ac:dyDescent="0.3">
      <c r="A5" s="15"/>
      <c r="B5" s="10"/>
      <c r="C5" s="15"/>
      <c r="D5" s="15"/>
      <c r="E5" s="15"/>
      <c r="F5" s="15"/>
      <c r="G5" s="15"/>
      <c r="H5" s="15"/>
      <c r="I5" s="15"/>
      <c r="J5" s="15"/>
      <c r="K5" s="15"/>
      <c r="L5" s="15"/>
      <c r="M5" s="15"/>
      <c r="N5" s="15"/>
      <c r="O5" s="15"/>
      <c r="P5" s="15"/>
      <c r="Q5" s="15"/>
      <c r="R5" s="15"/>
      <c r="S5" s="15"/>
    </row>
    <row r="6" spans="1:22" ht="15" customHeight="1" x14ac:dyDescent="0.35">
      <c r="A6" s="15"/>
      <c r="B6" s="334" t="s">
        <v>10</v>
      </c>
      <c r="C6" s="335"/>
      <c r="D6" s="336"/>
      <c r="E6" s="71"/>
      <c r="F6" s="375" t="str">
        <f>IF(F10=" &lt;&lt;&lt; Select Index &gt;&gt;&gt;","",VLOOKUP(F10,PAB_CTB_Database!$C:$D,2,FALSE))</f>
        <v>iBoxx MSCI GBP Corporates Paris Aligned Capped TCA Index Guide</v>
      </c>
      <c r="G6" s="376"/>
      <c r="H6" s="376"/>
      <c r="I6" s="376"/>
      <c r="J6" s="377"/>
      <c r="K6" s="15"/>
      <c r="L6" s="15"/>
      <c r="M6" s="15"/>
      <c r="N6" s="15"/>
      <c r="O6" s="15"/>
      <c r="P6" s="15"/>
      <c r="Q6" s="15"/>
      <c r="R6" s="15"/>
      <c r="S6" s="15"/>
    </row>
    <row r="7" spans="1:22" ht="4.5" customHeight="1" x14ac:dyDescent="0.35">
      <c r="A7" s="15"/>
      <c r="B7" s="16"/>
      <c r="C7" s="16"/>
      <c r="D7" s="16"/>
      <c r="E7" s="72"/>
      <c r="F7" s="48"/>
      <c r="G7" s="48"/>
      <c r="H7" s="48"/>
      <c r="I7" s="48"/>
      <c r="J7" s="48"/>
      <c r="K7" s="15"/>
      <c r="L7" s="15"/>
      <c r="M7" s="15"/>
      <c r="N7" s="15"/>
      <c r="O7" s="15"/>
      <c r="P7" s="15"/>
      <c r="Q7" s="15"/>
      <c r="R7" s="15"/>
      <c r="S7" s="15"/>
    </row>
    <row r="8" spans="1:22" ht="15" customHeight="1" x14ac:dyDescent="0.35">
      <c r="A8" s="15"/>
      <c r="B8" s="334" t="s">
        <v>118</v>
      </c>
      <c r="C8" s="335"/>
      <c r="D8" s="336"/>
      <c r="E8" s="71"/>
      <c r="F8" s="375" t="str">
        <f>IF(F10=" &lt;&lt;&lt; Select Index &gt;&gt;&gt;","",VLOOKUP(F10,PAB_CTB_Database!$C:$P,14,FALSE))</f>
        <v>iBoxx £ Corporates</v>
      </c>
      <c r="G8" s="376"/>
      <c r="H8" s="376"/>
      <c r="I8" s="376"/>
      <c r="J8" s="377"/>
      <c r="K8" s="15"/>
      <c r="L8" s="15"/>
      <c r="M8" s="15"/>
      <c r="N8" s="15"/>
      <c r="O8" s="15"/>
      <c r="P8" s="15"/>
      <c r="Q8" s="15"/>
      <c r="R8" s="15"/>
      <c r="S8" s="15"/>
    </row>
    <row r="9" spans="1:22" ht="4.5" customHeight="1" thickBot="1" x14ac:dyDescent="0.4">
      <c r="A9" s="15"/>
      <c r="B9" s="17"/>
      <c r="C9" s="18"/>
      <c r="D9" s="17"/>
      <c r="E9" s="76"/>
      <c r="F9" s="76"/>
      <c r="G9" s="76"/>
      <c r="H9" s="76"/>
      <c r="I9" s="76"/>
      <c r="J9" s="76"/>
      <c r="K9" s="15"/>
      <c r="L9" s="15"/>
      <c r="M9" s="15"/>
      <c r="N9" s="15"/>
      <c r="O9" s="15"/>
      <c r="P9" s="15"/>
      <c r="Q9" s="15"/>
      <c r="R9" s="15"/>
      <c r="S9" s="15"/>
    </row>
    <row r="10" spans="1:22" ht="15" customHeight="1" thickBot="1" x14ac:dyDescent="0.4">
      <c r="A10" s="15"/>
      <c r="B10" s="337" t="str">
        <f>IF($B$3="S&amp;P Dow Jones Indices Climate Transition Index Historical Rebalance Results",REF!$AH$4,IF($B$3="S&amp;P Dow Jones Indices Paris-Aligned Index Historical Rebalance Results",REF!$AH$5,REF!$AH$6))</f>
        <v>Paris-Aligned Index:</v>
      </c>
      <c r="C10" s="338"/>
      <c r="D10" s="339"/>
      <c r="E10" s="78"/>
      <c r="F10" s="378" t="s">
        <v>544</v>
      </c>
      <c r="G10" s="379"/>
      <c r="H10" s="379"/>
      <c r="I10" s="379"/>
      <c r="J10" s="380"/>
      <c r="K10" s="15"/>
      <c r="L10" s="15"/>
      <c r="M10" s="15"/>
      <c r="N10" s="15"/>
      <c r="O10" s="15"/>
      <c r="P10" s="15"/>
      <c r="Q10" s="15"/>
      <c r="R10" s="15"/>
      <c r="S10" s="15"/>
    </row>
    <row r="11" spans="1:22" ht="15" customHeight="1" x14ac:dyDescent="0.3">
      <c r="A11" s="15"/>
      <c r="B11" s="11"/>
      <c r="C11" s="12"/>
      <c r="D11" s="11"/>
      <c r="E11" s="79"/>
      <c r="F11" s="77"/>
      <c r="G11" s="77"/>
      <c r="H11" s="79"/>
      <c r="I11" s="77"/>
      <c r="J11" s="79"/>
      <c r="K11" s="15"/>
      <c r="L11" s="15"/>
      <c r="M11" s="15"/>
      <c r="N11" s="15"/>
      <c r="O11" s="15"/>
      <c r="P11" s="15"/>
      <c r="Q11" s="15"/>
      <c r="R11" s="15"/>
      <c r="S11" s="15"/>
    </row>
    <row r="12" spans="1:22" ht="15" customHeight="1" x14ac:dyDescent="0.3">
      <c r="A12" s="15"/>
      <c r="B12" s="11"/>
      <c r="C12" s="12"/>
      <c r="D12" s="11"/>
      <c r="E12" s="79"/>
      <c r="F12" s="77"/>
      <c r="G12" s="77"/>
      <c r="H12" s="79"/>
      <c r="I12" s="77"/>
      <c r="J12" s="79"/>
      <c r="K12" s="15"/>
      <c r="L12" s="15"/>
      <c r="M12" s="15"/>
      <c r="N12" s="15"/>
      <c r="O12" s="15"/>
      <c r="P12" s="15"/>
      <c r="Q12" s="15"/>
      <c r="R12" s="15"/>
      <c r="S12" s="15"/>
    </row>
    <row r="13" spans="1:22" ht="20" x14ac:dyDescent="0.4">
      <c r="A13" s="15"/>
      <c r="B13" s="14" t="s">
        <v>120</v>
      </c>
      <c r="C13" s="15"/>
      <c r="D13" s="15"/>
      <c r="E13" s="15"/>
      <c r="F13" s="15"/>
      <c r="G13" s="15"/>
      <c r="H13" s="15"/>
      <c r="I13" s="15"/>
      <c r="J13" s="15"/>
      <c r="K13" s="15"/>
      <c r="L13" s="15"/>
      <c r="M13" s="15"/>
      <c r="N13" s="15"/>
      <c r="O13" s="15"/>
      <c r="P13" s="15"/>
      <c r="Q13" s="15"/>
      <c r="R13" s="15"/>
      <c r="S13" s="15"/>
    </row>
    <row r="14" spans="1:22" ht="7.5" customHeight="1" x14ac:dyDescent="0.4">
      <c r="A14" s="15"/>
      <c r="B14" s="14"/>
      <c r="C14" s="15"/>
      <c r="D14" s="15"/>
      <c r="E14" s="15"/>
      <c r="F14" s="15"/>
      <c r="G14" s="15"/>
      <c r="H14" s="15"/>
      <c r="I14" s="15"/>
      <c r="J14" s="15"/>
      <c r="K14" s="15"/>
      <c r="L14" s="15"/>
      <c r="M14" s="15"/>
      <c r="N14" s="15"/>
      <c r="O14" s="15"/>
      <c r="P14" s="15"/>
      <c r="Q14" s="15"/>
      <c r="R14" s="15"/>
      <c r="S14" s="15"/>
    </row>
    <row r="15" spans="1:22" ht="30.75" customHeight="1" x14ac:dyDescent="0.3">
      <c r="A15" s="15"/>
      <c r="B15" s="395" t="str">
        <f>IF(B3="S&amp;P Dow Jones Indices Climate Transition Index Historical Rebalance Results",REF!AD4,IF(B3="S&amp;P Dow Jones Indices Paris-Aligned Index Historical Rebalance Results",REF!AD5,REF!AD6))</f>
        <v>The information disclosed in this section relates to the components of the Paris-Aligned index that are minimum requirements for EU Paris-Aligned Benchmarks ('EU PAB'), as defined by Regulation (EU) 2019/2089 of the European Parliament and of the Council of 27 November 2019 amending Regulation (EU) 2016/1011 as regards EU Climate Transition Benchmarks, EU Paris-aligned Benchmarks and sustainability-related disclosures for benchmarks ('the Regulation' hereafter).</v>
      </c>
      <c r="C15" s="395"/>
      <c r="D15" s="395"/>
      <c r="E15" s="395"/>
      <c r="F15" s="395"/>
      <c r="G15" s="395"/>
      <c r="H15" s="395"/>
      <c r="I15" s="395"/>
      <c r="J15" s="395"/>
      <c r="K15" s="395"/>
      <c r="L15" s="395"/>
      <c r="M15" s="395"/>
      <c r="N15" s="395"/>
      <c r="O15" s="395"/>
      <c r="P15" s="395"/>
      <c r="Q15" s="395"/>
      <c r="R15" s="395"/>
      <c r="S15" s="15"/>
    </row>
    <row r="16" spans="1:22" ht="6.75" customHeight="1" x14ac:dyDescent="0.3">
      <c r="A16" s="15"/>
      <c r="B16" s="15"/>
      <c r="C16" s="15"/>
      <c r="D16" s="15"/>
      <c r="E16" s="15"/>
      <c r="F16" s="15"/>
      <c r="G16" s="15"/>
      <c r="H16" s="15"/>
      <c r="I16" s="15"/>
      <c r="J16" s="15"/>
      <c r="K16" s="15"/>
      <c r="L16" s="15"/>
      <c r="M16" s="15"/>
      <c r="N16" s="15"/>
      <c r="O16" s="15"/>
      <c r="P16" s="15"/>
      <c r="Q16" s="15"/>
      <c r="R16" s="15"/>
      <c r="S16" s="15"/>
    </row>
    <row r="17" spans="1:19" ht="15" customHeight="1" x14ac:dyDescent="0.3">
      <c r="A17" s="15"/>
      <c r="B17" s="15"/>
      <c r="C17" s="15"/>
      <c r="D17" s="15"/>
      <c r="E17" s="15"/>
      <c r="F17" s="15"/>
      <c r="G17" s="15"/>
      <c r="H17" s="15"/>
      <c r="I17" s="15"/>
      <c r="J17" s="15"/>
      <c r="K17" s="15"/>
      <c r="L17" s="15"/>
      <c r="M17" s="15"/>
      <c r="N17" s="15"/>
      <c r="O17" s="15"/>
      <c r="P17" s="15"/>
      <c r="Q17" s="15"/>
      <c r="R17" s="15"/>
      <c r="S17" s="15"/>
    </row>
    <row r="18" spans="1:19" ht="285" customHeight="1" x14ac:dyDescent="0.3">
      <c r="A18" s="15"/>
      <c r="B18" s="108" t="s">
        <v>121</v>
      </c>
      <c r="C18" s="15"/>
      <c r="D18" s="15"/>
      <c r="E18" s="15"/>
      <c r="F18" s="15"/>
      <c r="G18" s="15"/>
      <c r="H18" s="15"/>
      <c r="I18" s="15"/>
      <c r="J18" s="15"/>
      <c r="K18" s="15"/>
      <c r="L18" s="15"/>
      <c r="M18" s="15"/>
      <c r="N18" s="15"/>
      <c r="O18" s="15"/>
      <c r="P18" s="15"/>
      <c r="Q18" s="15"/>
      <c r="R18" s="15"/>
      <c r="S18" s="15"/>
    </row>
    <row r="19" spans="1:19" ht="261.75" customHeight="1" x14ac:dyDescent="0.3">
      <c r="A19" s="15"/>
      <c r="B19" s="15"/>
      <c r="C19" s="15"/>
      <c r="D19" s="15"/>
      <c r="E19" s="15"/>
      <c r="F19" s="15"/>
      <c r="G19" s="15"/>
      <c r="H19" s="15"/>
      <c r="I19" s="15"/>
      <c r="J19" s="15"/>
      <c r="K19" s="15"/>
      <c r="L19" s="15"/>
      <c r="M19" s="15"/>
      <c r="N19" s="15"/>
      <c r="O19" s="15"/>
      <c r="P19" s="15"/>
      <c r="Q19" s="15"/>
      <c r="R19" s="15"/>
      <c r="S19" s="15"/>
    </row>
    <row r="20" spans="1:19" ht="18" x14ac:dyDescent="0.4">
      <c r="A20" s="15"/>
      <c r="B20" s="94" t="s">
        <v>122</v>
      </c>
      <c r="C20" s="15"/>
      <c r="D20" s="15"/>
      <c r="E20" s="15"/>
      <c r="F20" s="15"/>
      <c r="G20" s="15"/>
      <c r="H20" s="15"/>
      <c r="I20" s="15"/>
      <c r="J20" s="15"/>
      <c r="K20" s="15"/>
      <c r="L20" s="15"/>
      <c r="M20" s="15"/>
      <c r="N20" s="15"/>
      <c r="O20" s="15"/>
      <c r="P20" s="15"/>
      <c r="Q20" s="15"/>
      <c r="R20" s="15"/>
      <c r="S20" s="15"/>
    </row>
    <row r="21" spans="1:19" ht="7.5" customHeight="1" x14ac:dyDescent="0.3">
      <c r="A21" s="15"/>
      <c r="B21" s="15"/>
      <c r="C21" s="15"/>
      <c r="D21" s="15"/>
      <c r="E21" s="15"/>
      <c r="F21" s="15"/>
      <c r="G21" s="15"/>
      <c r="H21" s="15"/>
      <c r="I21" s="15"/>
      <c r="J21" s="15"/>
      <c r="K21" s="15"/>
      <c r="L21" s="15"/>
      <c r="M21" s="15"/>
      <c r="N21" s="15"/>
      <c r="O21" s="15"/>
      <c r="P21" s="15"/>
      <c r="Q21" s="15"/>
      <c r="R21" s="15"/>
      <c r="S21" s="15"/>
    </row>
    <row r="22" spans="1:19" ht="7.5" customHeight="1" x14ac:dyDescent="0.3">
      <c r="A22" s="15"/>
      <c r="B22" s="15"/>
      <c r="C22" s="15"/>
      <c r="D22" s="15"/>
      <c r="E22" s="15"/>
      <c r="F22" s="15"/>
      <c r="G22" s="15"/>
      <c r="H22" s="15"/>
      <c r="I22" s="15"/>
      <c r="J22" s="15"/>
      <c r="K22" s="15"/>
      <c r="L22" s="15"/>
      <c r="M22" s="15"/>
      <c r="N22" s="15"/>
      <c r="O22" s="15"/>
      <c r="P22" s="15"/>
      <c r="Q22" s="15"/>
      <c r="R22" s="15"/>
      <c r="S22" s="15"/>
    </row>
    <row r="23" spans="1:19" ht="27.75" customHeight="1" x14ac:dyDescent="0.3">
      <c r="A23" s="15"/>
      <c r="B23" s="387" t="s">
        <v>123</v>
      </c>
      <c r="C23" s="388"/>
      <c r="D23" s="387" t="s">
        <v>124</v>
      </c>
      <c r="E23" s="397"/>
      <c r="F23" s="99" t="s">
        <v>125</v>
      </c>
      <c r="G23" s="98" t="s">
        <v>126</v>
      </c>
      <c r="H23" s="381" t="str">
        <f>IF(B3="S&amp;P Dow Jones Indices Climate Transition Index Historical Rebalance Results","EU CTB Decarbonization Target: 
Min(A,B)",IF(B3="S&amp;P Dow Jones Indices Paris-Aligned Index Historical Rebalance Results","EU PAB Decarbonization Target: 
Min(A,B)","EU Decarbonization Target: 
Min(A,B)"))</f>
        <v>EU PAB Decarbonization Target: 
Min(A,B)</v>
      </c>
      <c r="I23" s="384" t="s">
        <v>127</v>
      </c>
      <c r="J23" s="387" t="str">
        <f>IF(B3="S&amp;P Dow Jones Indices Climate Transition Index Historical Rebalance Results","EU CTB Index Absolute Carbon Emissions (tCO2e)",IF(B3="S&amp;P Dow Jones Indices Paris-Aligned Index Historical Rebalance Results","EU PAB Index Absolute Carbon Emissions (tCO2e)","Index Absolute Carbon Emissions (tCO2e)"))</f>
        <v>EU PAB Index Absolute Carbon Emissions (tCO2e)</v>
      </c>
      <c r="K23" s="384" t="s">
        <v>128</v>
      </c>
      <c r="L23" s="387" t="s">
        <v>129</v>
      </c>
      <c r="M23" s="384" t="s">
        <v>130</v>
      </c>
      <c r="N23" s="397" t="s">
        <v>131</v>
      </c>
      <c r="O23" s="384" t="s">
        <v>132</v>
      </c>
      <c r="P23" s="109"/>
      <c r="Q23" s="387" t="s">
        <v>133</v>
      </c>
      <c r="R23" s="384" t="str">
        <f>IF(B3="S&amp;P Dow Jones Indices Climate Transition Index Historical Rebalance Results","Overlap between the Universe and EU CTB Index",IF(B3="S&amp;P Dow Jones Indices Paris-Aligned Index Historical Rebalance Results","Overlap between the Universe and EU PAB Index","Overlap between the Universe and EU CTB/PAB Index"))</f>
        <v>Overlap between the Universe and EU PAB Index</v>
      </c>
      <c r="S23" s="15"/>
    </row>
    <row r="24" spans="1:19" ht="14.25" customHeight="1" x14ac:dyDescent="0.3">
      <c r="A24" s="15"/>
      <c r="B24" s="389"/>
      <c r="C24" s="390"/>
      <c r="D24" s="389"/>
      <c r="E24" s="398"/>
      <c r="F24" s="385" t="str">
        <f>IF(B3="S&amp;P Dow Jones Indices Climate Transition Index Historical Rebalance Results","Universe Index (-30% Universe Index Absolute Emissions)",IF(B3="S&amp;P Dow Jones Indices Paris-Aligned Index Historical Rebalance Results","Universe Index 
(-50% Universe Index Absolute Emissions)","Universe Index (-30%/-50% Universe Index Absolute Emissions)"))</f>
        <v>Universe Index 
(-50% Universe Index Absolute Emissions)</v>
      </c>
      <c r="G24" s="394" t="s">
        <v>134</v>
      </c>
      <c r="H24" s="382"/>
      <c r="I24" s="385"/>
      <c r="J24" s="389"/>
      <c r="K24" s="385"/>
      <c r="L24" s="389"/>
      <c r="M24" s="385"/>
      <c r="N24" s="398"/>
      <c r="O24" s="385"/>
      <c r="P24" s="109"/>
      <c r="Q24" s="389"/>
      <c r="R24" s="385"/>
      <c r="S24" s="15"/>
    </row>
    <row r="25" spans="1:19" ht="29.25" customHeight="1" x14ac:dyDescent="0.3">
      <c r="A25" s="15"/>
      <c r="B25" s="389"/>
      <c r="C25" s="390"/>
      <c r="D25" s="389"/>
      <c r="E25" s="398"/>
      <c r="F25" s="385"/>
      <c r="G25" s="385"/>
      <c r="H25" s="382"/>
      <c r="I25" s="385"/>
      <c r="J25" s="389"/>
      <c r="K25" s="385"/>
      <c r="L25" s="389"/>
      <c r="M25" s="385"/>
      <c r="N25" s="398"/>
      <c r="O25" s="385"/>
      <c r="P25" s="109"/>
      <c r="Q25" s="389"/>
      <c r="R25" s="385"/>
      <c r="S25" s="15"/>
    </row>
    <row r="26" spans="1:19" x14ac:dyDescent="0.3">
      <c r="A26" s="15"/>
      <c r="B26" s="391"/>
      <c r="C26" s="392"/>
      <c r="D26" s="391"/>
      <c r="E26" s="399"/>
      <c r="F26" s="393"/>
      <c r="G26" s="393"/>
      <c r="H26" s="383"/>
      <c r="I26" s="386"/>
      <c r="J26" s="391"/>
      <c r="K26" s="386"/>
      <c r="L26" s="391"/>
      <c r="M26" s="386"/>
      <c r="N26" s="399"/>
      <c r="O26" s="386"/>
      <c r="P26" s="109"/>
      <c r="Q26" s="396"/>
      <c r="R26" s="393"/>
      <c r="S26" s="15"/>
    </row>
    <row r="27" spans="1:19" x14ac:dyDescent="0.3">
      <c r="A27" s="126">
        <v>0</v>
      </c>
      <c r="B27" s="95" t="str">
        <f>IF($F$10=" &lt;&lt;&lt; Select Index &gt;&gt;&gt;","","Index Anchor Date:")</f>
        <v>Index Anchor Date:</v>
      </c>
      <c r="C27" s="85">
        <f>IF($F$10=" &lt;&lt;&lt; Select Index &gt;&gt;&gt;","",VLOOKUP(_xlfn.CONCAT($F$10,A27),PAB_CTB_Database!B:H,7,FALSE))</f>
        <v>44651</v>
      </c>
      <c r="D27" s="400">
        <f>IF($F$10=" &lt;&lt;&lt; Select Index &gt;&gt;&gt;","",IF(VLOOKUP($F$10&amp;$A27,PAB_CTB_Database!$B:$I,8,FALSE)=0,"",VLOOKUP($F$10&amp;$A27,PAB_CTB_Database!$B:$I,8,FALSE)))</f>
        <v>38811702.4108513</v>
      </c>
      <c r="E27" s="401"/>
      <c r="F27" s="135">
        <f>IF($F$10=" &lt;&lt;&lt; Select Index &gt;&gt;&gt;","",IF(VLOOKUP($F$10&amp;$A27,PAB_CTB_Database!$B:$J,9,FALSE)=0,"",VLOOKUP($F$10&amp;$A27,PAB_CTB_Database!$B:$J,9,FALSE)))</f>
        <v>19405851.20542565</v>
      </c>
      <c r="G27" s="135">
        <f>IF($F$10=" &lt;&lt;&lt; Select Index &gt;&gt;&gt;","",IF(VLOOKUP($F$10&amp;$A27,PAB_CTB_Database!$B:$K,10,FALSE)=0,"",VLOOKUP($F$10&amp;$A27,PAB_CTB_Database!$B:$K,10,FALSE)))</f>
        <v>19405851.20542565</v>
      </c>
      <c r="H27" s="136">
        <f>IF($F$10=" &lt;&lt;&lt; Select Index &gt;&gt;&gt;","",IF(F27="","",IF(VLOOKUP($F$10&amp;$A27,PAB_CTB_Database!$B:$L,11,FALSE)=0,"",VLOOKUP($F$10&amp;$A27,PAB_CTB_Database!$B:$L,11,FALSE))))</f>
        <v>19405851.20542565</v>
      </c>
      <c r="I27" s="135">
        <f>IF($F$10=" &lt;&lt;&lt; Select Index &gt;&gt;&gt;","",IF(F27="","",IF(VLOOKUP($F$10&amp;$A27,PAB_CTB_Database!$B:$M,12,FALSE)=0,"",VLOOKUP($F$10&amp;$A27,PAB_CTB_Database!$B:$M,12,FALSE))))</f>
        <v>18920704.925290007</v>
      </c>
      <c r="J27" s="137">
        <f>IF($F$10=" &lt;&lt;&lt; Select Index &gt;&gt;&gt;","",IF(VLOOKUP($F$10&amp;$A27,PAB_CTB_Database!$B:$N,13,FALSE)=0,"",VLOOKUP($F$10&amp;$A27,PAB_CTB_Database!$B:$N,13,FALSE)))</f>
        <v>18637944.518108599</v>
      </c>
      <c r="K27" s="111">
        <f>IFERROR(J27/D27-1,"")</f>
        <v>-0.51978544200891208</v>
      </c>
      <c r="L27" s="106" t="str">
        <f>IF(K27="","",IF(K27="***","",IF(J27&lt;=H27,"MET","NOT MET")))</f>
        <v>MET</v>
      </c>
      <c r="M27" s="149">
        <f>IF(J27="","",IF(J27="***","",J27-H27))</f>
        <v>-767906.68731705099</v>
      </c>
      <c r="N27" s="106" t="str">
        <f>IF(M27="","",IF(M27&gt;0,"NOT MET","MET"))</f>
        <v>MET</v>
      </c>
      <c r="O27" s="122">
        <f>IFERROR(J27/$D$27-1,"")</f>
        <v>-0.51978544200891208</v>
      </c>
      <c r="P27" s="110"/>
      <c r="Q27" s="111">
        <f>IF($F$10=" &lt;&lt;&lt; Select Index &gt;&gt;&gt;","",IF(D27="","",IF(VLOOKUP($F$10&amp;$A27,PAB_CTB_Database!$B:$O,14,FALSE)=0,"",VLOOKUP($F$10&amp;$A27,PAB_CTB_Database!$B:$O,14,FALSE))))</f>
        <v>0.28533886600000002</v>
      </c>
      <c r="R27" s="117">
        <f>IF(Q27="","",IF(Q27="***","***",1-Q27))</f>
        <v>0.71466113399999998</v>
      </c>
      <c r="S27" s="15"/>
    </row>
    <row r="28" spans="1:19" x14ac:dyDescent="0.3">
      <c r="A28" s="84">
        <v>1</v>
      </c>
      <c r="B28" s="45"/>
      <c r="C28" s="86">
        <f>IF($F$10=" &lt;&lt;&lt; Select Index &gt;&gt;&gt;","",VLOOKUP(_xlfn.CONCAT($F$10,A28),PAB_CTB_Database!B:H,7,FALSE))</f>
        <v>44681</v>
      </c>
      <c r="D28" s="402">
        <f>IF($F$10=" &lt;&lt;&lt; Select Index &gt;&gt;&gt;","",IF(VLOOKUP($F$10&amp;$A28,PAB_CTB_Database!$B:$I,8,FALSE)=0,"",VLOOKUP($F$10&amp;$A28,PAB_CTB_Database!$B:$I,8,FALSE)))</f>
        <v>39030877.017535798</v>
      </c>
      <c r="E28" s="403"/>
      <c r="F28" s="138">
        <f>IF($F$10=" &lt;&lt;&lt; Select Index &gt;&gt;&gt;","",IF(VLOOKUP($F$10&amp;$A28,PAB_CTB_Database!$B:$J,9,FALSE)=0,"",VLOOKUP($F$10&amp;$A28,PAB_CTB_Database!$B:$J,9,FALSE)))</f>
        <v>19515438.508767899</v>
      </c>
      <c r="G28" s="138">
        <f>IF($F$10=" &lt;&lt;&lt; Select Index &gt;&gt;&gt;","",IF(VLOOKUP($F$10&amp;$A28,PAB_CTB_Database!$B:$K,10,FALSE)=0,"",VLOOKUP($F$10&amp;$A28,PAB_CTB_Database!$B:$K,10,FALSE)))</f>
        <v>19288847.350222718</v>
      </c>
      <c r="H28" s="139">
        <f>IF($F$10=" &lt;&lt;&lt; Select Index &gt;&gt;&gt;","",IF(F28="","",IF(VLOOKUP($F$10&amp;$A28,PAB_CTB_Database!$B:$L,11,FALSE)=0,"",VLOOKUP($F$10&amp;$A28,PAB_CTB_Database!$B:$L,11,FALSE))))</f>
        <v>19288847.350222718</v>
      </c>
      <c r="I28" s="140">
        <f>IF($F$10=" &lt;&lt;&lt; Select Index &gt;&gt;&gt;","",IF(F28="","",IF(VLOOKUP($F$10&amp;$A28,PAB_CTB_Database!$B:$M,12,FALSE)=0,"",VLOOKUP($F$10&amp;$A28,PAB_CTB_Database!$B:$M,12,FALSE))))</f>
        <v>18806626.166467149</v>
      </c>
      <c r="J28" s="141">
        <f>IF($F$10=" &lt;&lt;&lt; Select Index &gt;&gt;&gt;","",IF(VLOOKUP($F$10&amp;$A28,PAB_CTB_Database!$B:$N,13,FALSE)=0,"",VLOOKUP($F$10&amp;$A28,PAB_CTB_Database!$B:$N,13,FALSE)))</f>
        <v>18062431.343655799</v>
      </c>
      <c r="K28" s="112">
        <f t="shared" ref="K28:K91" si="0">IFERROR(J28/D28-1,"")</f>
        <v>-0.53722712058095168</v>
      </c>
      <c r="L28" s="114" t="str">
        <f t="shared" ref="L28:L91" si="1">IF(K28="","",IF(K28="***","",IF(J28&lt;=H28,"MET","NOT MET")))</f>
        <v>MET</v>
      </c>
      <c r="M28" s="147">
        <f t="shared" ref="M28:M91" si="2">IF(J28="","",IF(J28="***","",J28-H28))</f>
        <v>-1226416.0065669194</v>
      </c>
      <c r="N28" s="114" t="str">
        <f t="shared" ref="N28:N91" si="3">IF(M28="","",IF(M28&gt;0,"NOT MET","MET"))</f>
        <v>MET</v>
      </c>
      <c r="O28" s="123">
        <f t="shared" ref="O28:O91" si="4">IFERROR(J28/$D$27-1,"")</f>
        <v>-0.5346137834292537</v>
      </c>
      <c r="P28" s="110"/>
      <c r="Q28" s="118">
        <f>IF($F$10=" &lt;&lt;&lt; Select Index &gt;&gt;&gt;","",IF(D28="","",IF(VLOOKUP($F$10&amp;$A28,PAB_CTB_Database!$B:$O,14,FALSE)=0,"",VLOOKUP($F$10&amp;$A28,PAB_CTB_Database!$B:$O,14,FALSE))))</f>
        <v>0.29341237399999998</v>
      </c>
      <c r="R28" s="119">
        <f t="shared" ref="R28:R91" si="5">IF(Q28="","",IF(Q28="***","***",1-Q28))</f>
        <v>0.70658762600000002</v>
      </c>
      <c r="S28" s="15"/>
    </row>
    <row r="29" spans="1:19" x14ac:dyDescent="0.3">
      <c r="A29" s="84">
        <v>2</v>
      </c>
      <c r="B29" s="46"/>
      <c r="C29" s="87">
        <f>IF($F$10=" &lt;&lt;&lt; Select Index &gt;&gt;&gt;","",VLOOKUP(_xlfn.CONCAT($F$10,A29),PAB_CTB_Database!B:H,7,FALSE))</f>
        <v>44712</v>
      </c>
      <c r="D29" s="404">
        <f>IF($F$10=" &lt;&lt;&lt; Select Index &gt;&gt;&gt;","",IF(VLOOKUP($F$10&amp;$A29,PAB_CTB_Database!$B:$I,8,FALSE)=0,"",VLOOKUP($F$10&amp;$A29,PAB_CTB_Database!$B:$I,8,FALSE)))</f>
        <v>38525742.904932402</v>
      </c>
      <c r="E29" s="405"/>
      <c r="F29" s="142">
        <f>IF($F$10=" &lt;&lt;&lt; Select Index &gt;&gt;&gt;","",IF(VLOOKUP($F$10&amp;$A29,PAB_CTB_Database!$B:$J,9,FALSE)=0,"",VLOOKUP($F$10&amp;$A29,PAB_CTB_Database!$B:$J,9,FALSE)))</f>
        <v>19262871.452466201</v>
      </c>
      <c r="G29" s="142">
        <f>IF($F$10=" &lt;&lt;&lt; Select Index &gt;&gt;&gt;","",IF(VLOOKUP($F$10&amp;$A29,PAB_CTB_Database!$B:$K,10,FALSE)=0,"",VLOOKUP($F$10&amp;$A29,PAB_CTB_Database!$B:$K,10,FALSE)))</f>
        <v>19172548.947307728</v>
      </c>
      <c r="H29" s="143">
        <f>IF($F$10=" &lt;&lt;&lt; Select Index &gt;&gt;&gt;","",IF(F29="","",IF(VLOOKUP($F$10&amp;$A29,PAB_CTB_Database!$B:$L,11,FALSE)=0,"",VLOOKUP($F$10&amp;$A29,PAB_CTB_Database!$B:$L,11,FALSE))))</f>
        <v>19172548.947307728</v>
      </c>
      <c r="I29" s="144">
        <f>IF($F$10=" &lt;&lt;&lt; Select Index &gt;&gt;&gt;","",IF(F29="","",IF(VLOOKUP($F$10&amp;$A29,PAB_CTB_Database!$B:$M,12,FALSE)=0,"",VLOOKUP($F$10&amp;$A29,PAB_CTB_Database!$B:$M,12,FALSE))))</f>
        <v>18693235.223625034</v>
      </c>
      <c r="J29" s="145">
        <f>IF($F$10=" &lt;&lt;&lt; Select Index &gt;&gt;&gt;","",IF(VLOOKUP($F$10&amp;$A29,PAB_CTB_Database!$B:$N,13,FALSE)=0,"",VLOOKUP($F$10&amp;$A29,PAB_CTB_Database!$B:$N,13,FALSE)))</f>
        <v>17953527.380662899</v>
      </c>
      <c r="K29" s="105">
        <f t="shared" si="0"/>
        <v>-0.53398621215518904</v>
      </c>
      <c r="L29" s="115" t="str">
        <f>IF(K29="","",IF(K29="***","",IF(J29&lt;=H29,"MET","NOT MET")))</f>
        <v>MET</v>
      </c>
      <c r="M29" s="148">
        <f t="shared" si="2"/>
        <v>-1219021.5666448288</v>
      </c>
      <c r="N29" s="115" t="str">
        <f t="shared" si="3"/>
        <v>MET</v>
      </c>
      <c r="O29" s="124">
        <f t="shared" si="4"/>
        <v>-0.53741974029865536</v>
      </c>
      <c r="P29" s="110"/>
      <c r="Q29" s="118">
        <f>IF($F$10=" &lt;&lt;&lt; Select Index &gt;&gt;&gt;","",IF(D29="","",IF(VLOOKUP($F$10&amp;$A29,PAB_CTB_Database!$B:$O,14,FALSE)=0,"",VLOOKUP($F$10&amp;$A29,PAB_CTB_Database!$B:$O,14,FALSE))))</f>
        <v>0.29203029600000002</v>
      </c>
      <c r="R29" s="119">
        <f t="shared" si="5"/>
        <v>0.70796970399999992</v>
      </c>
      <c r="S29" s="15"/>
    </row>
    <row r="30" spans="1:19" x14ac:dyDescent="0.3">
      <c r="A30" s="84">
        <v>3</v>
      </c>
      <c r="B30" s="46"/>
      <c r="C30" s="87">
        <f>IF($F$10=" &lt;&lt;&lt; Select Index &gt;&gt;&gt;","",VLOOKUP(_xlfn.CONCAT($F$10,A30),PAB_CTB_Database!B:H,7,FALSE))</f>
        <v>44742</v>
      </c>
      <c r="D30" s="404">
        <f>IF($F$10=" &lt;&lt;&lt; Select Index &gt;&gt;&gt;","",IF(VLOOKUP($F$10&amp;$A30,PAB_CTB_Database!$B:$I,8,FALSE)=0,"",VLOOKUP($F$10&amp;$A30,PAB_CTB_Database!$B:$I,8,FALSE)))</f>
        <v>35797405.459961303</v>
      </c>
      <c r="E30" s="405"/>
      <c r="F30" s="142">
        <f>IF($F$10=" &lt;&lt;&lt; Select Index &gt;&gt;&gt;","",IF(VLOOKUP($F$10&amp;$A30,PAB_CTB_Database!$B:$J,9,FALSE)=0,"",VLOOKUP($F$10&amp;$A30,PAB_CTB_Database!$B:$J,9,FALSE)))</f>
        <v>17898702.729980651</v>
      </c>
      <c r="G30" s="142">
        <f>IF($F$10=" &lt;&lt;&lt; Select Index &gt;&gt;&gt;","",IF(VLOOKUP($F$10&amp;$A30,PAB_CTB_Database!$B:$K,10,FALSE)=0,"",VLOOKUP($F$10&amp;$A30,PAB_CTB_Database!$B:$K,10,FALSE)))</f>
        <v>19056951.743291516</v>
      </c>
      <c r="H30" s="143">
        <f>IF($F$10=" &lt;&lt;&lt; Select Index &gt;&gt;&gt;","",IF(F30="","",IF(VLOOKUP($F$10&amp;$A30,PAB_CTB_Database!$B:$L,11,FALSE)=0,"",VLOOKUP($F$10&amp;$A30,PAB_CTB_Database!$B:$L,11,FALSE))))</f>
        <v>17898702.729980651</v>
      </c>
      <c r="I30" s="144">
        <f>IF($F$10=" &lt;&lt;&lt; Select Index &gt;&gt;&gt;","",IF(F30="","",IF(VLOOKUP($F$10&amp;$A30,PAB_CTB_Database!$B:$M,12,FALSE)=0,"",VLOOKUP($F$10&amp;$A30,PAB_CTB_Database!$B:$M,12,FALSE))))</f>
        <v>17451235.161731135</v>
      </c>
      <c r="J30" s="145">
        <f>IF($F$10=" &lt;&lt;&lt; Select Index &gt;&gt;&gt;","",IF(VLOOKUP($F$10&amp;$A30,PAB_CTB_Database!$B:$N,13,FALSE)=0,"",VLOOKUP($F$10&amp;$A30,PAB_CTB_Database!$B:$N,13,FALSE)))</f>
        <v>17451235.161730301</v>
      </c>
      <c r="K30" s="105">
        <f t="shared" si="0"/>
        <v>-0.51250000000002327</v>
      </c>
      <c r="L30" s="115" t="str">
        <f t="shared" si="1"/>
        <v>MET</v>
      </c>
      <c r="M30" s="148">
        <f t="shared" si="2"/>
        <v>-447467.56825035065</v>
      </c>
      <c r="N30" s="115" t="str">
        <f t="shared" si="3"/>
        <v>MET</v>
      </c>
      <c r="O30" s="124">
        <f t="shared" si="4"/>
        <v>-0.55036151269543021</v>
      </c>
      <c r="P30" s="110"/>
      <c r="Q30" s="118">
        <f>IF($F$10=" &lt;&lt;&lt; Select Index &gt;&gt;&gt;","",IF(D30="","",IF(VLOOKUP($F$10&amp;$A30,PAB_CTB_Database!$B:$O,14,FALSE)=0,"",VLOOKUP($F$10&amp;$A30,PAB_CTB_Database!$B:$O,14,FALSE))))</f>
        <v>0.29099063200000003</v>
      </c>
      <c r="R30" s="119">
        <f t="shared" si="5"/>
        <v>0.70900936800000003</v>
      </c>
      <c r="S30" s="15"/>
    </row>
    <row r="31" spans="1:19" x14ac:dyDescent="0.3">
      <c r="A31" s="84">
        <v>4</v>
      </c>
      <c r="B31" s="46"/>
      <c r="C31" s="87">
        <f>IF($F$10=" &lt;&lt;&lt; Select Index &gt;&gt;&gt;","",VLOOKUP(_xlfn.CONCAT($F$10,A31),PAB_CTB_Database!B:H,7,FALSE))</f>
        <v>44773</v>
      </c>
      <c r="D31" s="404">
        <f>IF($F$10=" &lt;&lt;&lt; Select Index &gt;&gt;&gt;","",IF(VLOOKUP($F$10&amp;$A31,PAB_CTB_Database!$B:$I,8,FALSE)=0,"",VLOOKUP($F$10&amp;$A31,PAB_CTB_Database!$B:$I,8,FALSE)))</f>
        <v>41456638.966018103</v>
      </c>
      <c r="E31" s="406"/>
      <c r="F31" s="146">
        <f>IF($F$10=" &lt;&lt;&lt; Select Index &gt;&gt;&gt;","",IF(VLOOKUP($F$10&amp;$A31,PAB_CTB_Database!$B:$J,9,FALSE)=0,"",VLOOKUP($F$10&amp;$A31,PAB_CTB_Database!$B:$J,9,FALSE)))</f>
        <v>20728319.483009052</v>
      </c>
      <c r="G31" s="146">
        <f>IF($F$10=" &lt;&lt;&lt; Select Index &gt;&gt;&gt;","",IF(VLOOKUP($F$10&amp;$A31,PAB_CTB_Database!$B:$K,10,FALSE)=0,"",VLOOKUP($F$10&amp;$A31,PAB_CTB_Database!$B:$K,10,FALSE)))</f>
        <v>18942051.510429896</v>
      </c>
      <c r="H31" s="143">
        <f>IF($F$10=" &lt;&lt;&lt; Select Index &gt;&gt;&gt;","",IF(F31="","",IF(VLOOKUP($F$10&amp;$A31,PAB_CTB_Database!$B:$L,11,FALSE)=0,"",VLOOKUP($F$10&amp;$A31,PAB_CTB_Database!$B:$L,11,FALSE))))</f>
        <v>18942051.510429896</v>
      </c>
      <c r="I31" s="142">
        <f>IF($F$10=" &lt;&lt;&lt; Select Index &gt;&gt;&gt;","",IF(F31="","",IF(VLOOKUP($F$10&amp;$A31,PAB_CTB_Database!$B:$M,12,FALSE)=0,"",VLOOKUP($F$10&amp;$A31,PAB_CTB_Database!$B:$M,12,FALSE))))</f>
        <v>18468500.222669147</v>
      </c>
      <c r="J31" s="143">
        <f>IF($F$10=" &lt;&lt;&lt; Select Index &gt;&gt;&gt;","",IF(VLOOKUP($F$10&amp;$A31,PAB_CTB_Database!$B:$N,13,FALSE)=0,"",VLOOKUP($F$10&amp;$A31,PAB_CTB_Database!$B:$N,13,FALSE)))</f>
        <v>17737685.3421624</v>
      </c>
      <c r="K31" s="105">
        <f t="shared" si="0"/>
        <v>-0.57213884712887764</v>
      </c>
      <c r="L31" s="115" t="str">
        <f t="shared" si="1"/>
        <v>MET</v>
      </c>
      <c r="M31" s="148">
        <f t="shared" si="2"/>
        <v>-1204366.1682674959</v>
      </c>
      <c r="N31" s="115" t="str">
        <f t="shared" si="3"/>
        <v>MET</v>
      </c>
      <c r="O31" s="124">
        <f t="shared" si="4"/>
        <v>-0.54298100211128197</v>
      </c>
      <c r="P31" s="110"/>
      <c r="Q31" s="118">
        <f>IF($F$10=" &lt;&lt;&lt; Select Index &gt;&gt;&gt;","",IF(D31="","",IF(VLOOKUP($F$10&amp;$A31,PAB_CTB_Database!$B:$O,14,FALSE)=0,"",VLOOKUP($F$10&amp;$A31,PAB_CTB_Database!$B:$O,14,FALSE))))</f>
        <v>0.28211615099999998</v>
      </c>
      <c r="R31" s="119">
        <f t="shared" si="5"/>
        <v>0.71788384900000002</v>
      </c>
      <c r="S31" s="15"/>
    </row>
    <row r="32" spans="1:19" x14ac:dyDescent="0.3">
      <c r="A32" s="84">
        <v>5</v>
      </c>
      <c r="B32" s="46"/>
      <c r="C32" s="88">
        <f>IF($F$10=" &lt;&lt;&lt; Select Index &gt;&gt;&gt;","",VLOOKUP(_xlfn.CONCAT($F$10,A32),PAB_CTB_Database!B:H,7,FALSE))</f>
        <v>44804</v>
      </c>
      <c r="D32" s="404">
        <f>IF($F$10=" &lt;&lt;&lt; Select Index &gt;&gt;&gt;","",IF(VLOOKUP($F$10&amp;$A32,PAB_CTB_Database!$B:$I,8,FALSE)=0,"",VLOOKUP($F$10&amp;$A32,PAB_CTB_Database!$B:$I,8,FALSE)))</f>
        <v>41207952.271033302</v>
      </c>
      <c r="E32" s="405"/>
      <c r="F32" s="142">
        <f>IF($F$10=" &lt;&lt;&lt; Select Index &gt;&gt;&gt;","",IF(VLOOKUP($F$10&amp;$A32,PAB_CTB_Database!$B:$J,9,FALSE)=0,"",VLOOKUP($F$10&amp;$A32,PAB_CTB_Database!$B:$J,9,FALSE)))</f>
        <v>20603976.135516651</v>
      </c>
      <c r="G32" s="142">
        <f>IF($F$10=" &lt;&lt;&lt; Select Index &gt;&gt;&gt;","",IF(VLOOKUP($F$10&amp;$A32,PAB_CTB_Database!$B:$K,10,FALSE)=0,"",VLOOKUP($F$10&amp;$A32,PAB_CTB_Database!$B:$K,10,FALSE)))</f>
        <v>18827844.04646907</v>
      </c>
      <c r="H32" s="143">
        <f>IF($F$10=" &lt;&lt;&lt; Select Index &gt;&gt;&gt;","",IF(F32="","",IF(VLOOKUP($F$10&amp;$A32,PAB_CTB_Database!$B:$L,11,FALSE)=0,"",VLOOKUP($F$10&amp;$A32,PAB_CTB_Database!$B:$L,11,FALSE))))</f>
        <v>18827844.04646907</v>
      </c>
      <c r="I32" s="144">
        <f>IF($F$10=" &lt;&lt;&lt; Select Index &gt;&gt;&gt;","",IF(F32="","",IF(VLOOKUP($F$10&amp;$A32,PAB_CTB_Database!$B:$M,12,FALSE)=0,"",VLOOKUP($F$10&amp;$A32,PAB_CTB_Database!$B:$M,12,FALSE))))</f>
        <v>18357147.945307344</v>
      </c>
      <c r="J32" s="145">
        <f>IF($F$10=" &lt;&lt;&lt; Select Index &gt;&gt;&gt;","",IF(VLOOKUP($F$10&amp;$A32,PAB_CTB_Database!$B:$N,13,FALSE)=0,"",VLOOKUP($F$10&amp;$A32,PAB_CTB_Database!$B:$N,13,FALSE)))</f>
        <v>17630739.373056501</v>
      </c>
      <c r="K32" s="105">
        <f t="shared" si="0"/>
        <v>-0.57215201432249174</v>
      </c>
      <c r="L32" s="115" t="str">
        <f t="shared" si="1"/>
        <v>MET</v>
      </c>
      <c r="M32" s="148">
        <f t="shared" si="2"/>
        <v>-1197104.6734125689</v>
      </c>
      <c r="N32" s="115" t="str">
        <f t="shared" si="3"/>
        <v>MET</v>
      </c>
      <c r="O32" s="124">
        <f t="shared" si="4"/>
        <v>-0.54573651043642046</v>
      </c>
      <c r="P32" s="110"/>
      <c r="Q32" s="118">
        <f>IF($F$10=" &lt;&lt;&lt; Select Index &gt;&gt;&gt;","",IF(D32="","",IF(VLOOKUP($F$10&amp;$A32,PAB_CTB_Database!$B:$O,14,FALSE)=0,"",VLOOKUP($F$10&amp;$A32,PAB_CTB_Database!$B:$O,14,FALSE))))</f>
        <v>0.27847586899999999</v>
      </c>
      <c r="R32" s="119">
        <f t="shared" si="5"/>
        <v>0.72152413100000001</v>
      </c>
      <c r="S32" s="15"/>
    </row>
    <row r="33" spans="1:19" x14ac:dyDescent="0.3">
      <c r="A33" s="84">
        <v>6</v>
      </c>
      <c r="B33" s="46"/>
      <c r="C33" s="88">
        <f>IF($F$10=" &lt;&lt;&lt; Select Index &gt;&gt;&gt;","",VLOOKUP(_xlfn.CONCAT($F$10,A33),PAB_CTB_Database!B:H,7,FALSE))</f>
        <v>44834</v>
      </c>
      <c r="D33" s="404">
        <f>IF($F$10=" &lt;&lt;&lt; Select Index &gt;&gt;&gt;","",IF(VLOOKUP($F$10&amp;$A33,PAB_CTB_Database!$B:$I,8,FALSE)=0,"",VLOOKUP($F$10&amp;$A33,PAB_CTB_Database!$B:$I,8,FALSE)))</f>
        <v>36744368.285252102</v>
      </c>
      <c r="E33" s="405"/>
      <c r="F33" s="142">
        <f>IF($F$10=" &lt;&lt;&lt; Select Index &gt;&gt;&gt;","",IF(VLOOKUP($F$10&amp;$A33,PAB_CTB_Database!$B:$J,9,FALSE)=0,"",VLOOKUP($F$10&amp;$A33,PAB_CTB_Database!$B:$J,9,FALSE)))</f>
        <v>18372184.142626051</v>
      </c>
      <c r="G33" s="142">
        <f>IF($F$10=" &lt;&lt;&lt; Select Index &gt;&gt;&gt;","",IF(VLOOKUP($F$10&amp;$A33,PAB_CTB_Database!$B:$K,10,FALSE)=0,"",VLOOKUP($F$10&amp;$A33,PAB_CTB_Database!$B:$K,10,FALSE)))</f>
        <v>18714325.174491912</v>
      </c>
      <c r="H33" s="143">
        <f>IF($F$10=" &lt;&lt;&lt; Select Index &gt;&gt;&gt;","",IF(F33="","",IF(VLOOKUP($F$10&amp;$A33,PAB_CTB_Database!$B:$L,11,FALSE)=0,"",VLOOKUP($F$10&amp;$A33,PAB_CTB_Database!$B:$L,11,FALSE))))</f>
        <v>18372184.142626051</v>
      </c>
      <c r="I33" s="144">
        <f>IF($F$10=" &lt;&lt;&lt; Select Index &gt;&gt;&gt;","",IF(F33="","",IF(VLOOKUP($F$10&amp;$A33,PAB_CTB_Database!$B:$M,12,FALSE)=0,"",VLOOKUP($F$10&amp;$A33,PAB_CTB_Database!$B:$M,12,FALSE))))</f>
        <v>17912879.539060399</v>
      </c>
      <c r="J33" s="145">
        <f>IF($F$10=" &lt;&lt;&lt; Select Index &gt;&gt;&gt;","",IF(VLOOKUP($F$10&amp;$A33,PAB_CTB_Database!$B:$N,13,FALSE)=0,"",VLOOKUP($F$10&amp;$A33,PAB_CTB_Database!$B:$N,13,FALSE)))</f>
        <v>17524438.213939499</v>
      </c>
      <c r="K33" s="105">
        <f t="shared" si="0"/>
        <v>-0.52307145198701943</v>
      </c>
      <c r="L33" s="115" t="str">
        <f t="shared" si="1"/>
        <v>MET</v>
      </c>
      <c r="M33" s="148">
        <f t="shared" si="2"/>
        <v>-847745.92868655175</v>
      </c>
      <c r="N33" s="115" t="str">
        <f t="shared" si="3"/>
        <v>MET</v>
      </c>
      <c r="O33" s="124">
        <f t="shared" si="4"/>
        <v>-0.54847540495827696</v>
      </c>
      <c r="P33" s="110"/>
      <c r="Q33" s="118">
        <f>IF($F$10=" &lt;&lt;&lt; Select Index &gt;&gt;&gt;","",IF(D33="","",IF(VLOOKUP($F$10&amp;$A33,PAB_CTB_Database!$B:$O,14,FALSE)=0,"",VLOOKUP($F$10&amp;$A33,PAB_CTB_Database!$B:$O,14,FALSE))))</f>
        <v>0.271962274</v>
      </c>
      <c r="R33" s="119">
        <f t="shared" si="5"/>
        <v>0.72803772599999994</v>
      </c>
      <c r="S33" s="15"/>
    </row>
    <row r="34" spans="1:19" x14ac:dyDescent="0.3">
      <c r="A34" s="84">
        <v>7</v>
      </c>
      <c r="B34" s="46"/>
      <c r="C34" s="88">
        <f>IF($F$10=" &lt;&lt;&lt; Select Index &gt;&gt;&gt;","",VLOOKUP(_xlfn.CONCAT($F$10,A34),PAB_CTB_Database!B:H,7,FALSE))</f>
        <v>44865</v>
      </c>
      <c r="D34" s="404">
        <f>IF($F$10=" &lt;&lt;&lt; Select Index &gt;&gt;&gt;","",IF(VLOOKUP($F$10&amp;$A34,PAB_CTB_Database!$B:$I,8,FALSE)=0,"",VLOOKUP($F$10&amp;$A34,PAB_CTB_Database!$B:$I,8,FALSE)))</f>
        <v>38375793.915126503</v>
      </c>
      <c r="E34" s="405"/>
      <c r="F34" s="142">
        <f>IF($F$10=" &lt;&lt;&lt; Select Index &gt;&gt;&gt;","",IF(VLOOKUP($F$10&amp;$A34,PAB_CTB_Database!$B:$J,9,FALSE)=0,"",VLOOKUP($F$10&amp;$A34,PAB_CTB_Database!$B:$J,9,FALSE)))</f>
        <v>19187896.957563251</v>
      </c>
      <c r="G34" s="142">
        <f>IF($F$10=" &lt;&lt;&lt; Select Index &gt;&gt;&gt;","",IF(VLOOKUP($F$10&amp;$A34,PAB_CTB_Database!$B:$K,10,FALSE)=0,"",VLOOKUP($F$10&amp;$A34,PAB_CTB_Database!$B:$K,10,FALSE)))</f>
        <v>18601490.742765225</v>
      </c>
      <c r="H34" s="143">
        <f>IF($F$10=" &lt;&lt;&lt; Select Index &gt;&gt;&gt;","",IF(F34="","",IF(VLOOKUP($F$10&amp;$A34,PAB_CTB_Database!$B:$L,11,FALSE)=0,"",VLOOKUP($F$10&amp;$A34,PAB_CTB_Database!$B:$L,11,FALSE))))</f>
        <v>18601490.742765225</v>
      </c>
      <c r="I34" s="144">
        <f>IF($F$10=" &lt;&lt;&lt; Select Index &gt;&gt;&gt;","",IF(F34="","",IF(VLOOKUP($F$10&amp;$A34,PAB_CTB_Database!$B:$M,12,FALSE)=0,"",VLOOKUP($F$10&amp;$A34,PAB_CTB_Database!$B:$M,12,FALSE))))</f>
        <v>18136453.474196095</v>
      </c>
      <c r="J34" s="145">
        <f>IF($F$10=" &lt;&lt;&lt; Select Index &gt;&gt;&gt;","",IF(VLOOKUP($F$10&amp;$A34,PAB_CTB_Database!$B:$N,13,FALSE)=0,"",VLOOKUP($F$10&amp;$A34,PAB_CTB_Database!$B:$N,13,FALSE)))</f>
        <v>17418777.977263201</v>
      </c>
      <c r="K34" s="105">
        <f t="shared" si="0"/>
        <v>-0.54609986660374266</v>
      </c>
      <c r="L34" s="115" t="str">
        <f t="shared" si="1"/>
        <v>MET</v>
      </c>
      <c r="M34" s="148">
        <f t="shared" si="2"/>
        <v>-1182712.7655020244</v>
      </c>
      <c r="N34" s="115" t="str">
        <f t="shared" si="3"/>
        <v>MET</v>
      </c>
      <c r="O34" s="124">
        <f t="shared" si="4"/>
        <v>-0.55119778584118184</v>
      </c>
      <c r="P34" s="110"/>
      <c r="Q34" s="118">
        <f>IF($F$10=" &lt;&lt;&lt; Select Index &gt;&gt;&gt;","",IF(D34="","",IF(VLOOKUP($F$10&amp;$A34,PAB_CTB_Database!$B:$O,14,FALSE)=0,"",VLOOKUP($F$10&amp;$A34,PAB_CTB_Database!$B:$O,14,FALSE))))</f>
        <v>0.32262286499999998</v>
      </c>
      <c r="R34" s="119">
        <f t="shared" si="5"/>
        <v>0.67737713499999996</v>
      </c>
      <c r="S34" s="15"/>
    </row>
    <row r="35" spans="1:19" x14ac:dyDescent="0.3">
      <c r="A35" s="84">
        <v>8</v>
      </c>
      <c r="B35" s="46"/>
      <c r="C35" s="88">
        <f>IF($F$10=" &lt;&lt;&lt; Select Index &gt;&gt;&gt;","",VLOOKUP(_xlfn.CONCAT($F$10,A35),PAB_CTB_Database!B:H,7,FALSE))</f>
        <v>44895</v>
      </c>
      <c r="D35" s="404">
        <f>IF($F$10=" &lt;&lt;&lt; Select Index &gt;&gt;&gt;","",IF(VLOOKUP($F$10&amp;$A35,PAB_CTB_Database!$B:$I,8,FALSE)=0,"",VLOOKUP($F$10&amp;$A35,PAB_CTB_Database!$B:$I,8,FALSE)))</f>
        <v>37097339.962536603</v>
      </c>
      <c r="E35" s="405"/>
      <c r="F35" s="142">
        <f>IF($F$10=" &lt;&lt;&lt; Select Index &gt;&gt;&gt;","",IF(VLOOKUP($F$10&amp;$A35,PAB_CTB_Database!$B:$J,9,FALSE)=0,"",VLOOKUP($F$10&amp;$A35,PAB_CTB_Database!$B:$J,9,FALSE)))</f>
        <v>18548669.981268302</v>
      </c>
      <c r="G35" s="142">
        <f>IF($F$10=" &lt;&lt;&lt; Select Index &gt;&gt;&gt;","",IF(VLOOKUP($F$10&amp;$A35,PAB_CTB_Database!$B:$K,10,FALSE)=0,"",VLOOKUP($F$10&amp;$A35,PAB_CTB_Database!$B:$K,10,FALSE)))</f>
        <v>18489336.624587886</v>
      </c>
      <c r="H35" s="143">
        <f>IF($F$10=" &lt;&lt;&lt; Select Index &gt;&gt;&gt;","",IF(F35="","",IF(VLOOKUP($F$10&amp;$A35,PAB_CTB_Database!$B:$L,11,FALSE)=0,"",VLOOKUP($F$10&amp;$A35,PAB_CTB_Database!$B:$L,11,FALSE))))</f>
        <v>18489336.624587886</v>
      </c>
      <c r="I35" s="144">
        <f>IF($F$10=" &lt;&lt;&lt; Select Index &gt;&gt;&gt;","",IF(F35="","",IF(VLOOKUP($F$10&amp;$A35,PAB_CTB_Database!$B:$M,12,FALSE)=0,"",VLOOKUP($F$10&amp;$A35,PAB_CTB_Database!$B:$M,12,FALSE))))</f>
        <v>18027103.208973188</v>
      </c>
      <c r="J35" s="145">
        <f>IF($F$10=" &lt;&lt;&lt; Select Index &gt;&gt;&gt;","",IF(VLOOKUP($F$10&amp;$A35,PAB_CTB_Database!$B:$N,13,FALSE)=0,"",VLOOKUP($F$10&amp;$A35,PAB_CTB_Database!$B:$N,13,FALSE)))</f>
        <v>17313754.798705101</v>
      </c>
      <c r="K35" s="105">
        <f t="shared" si="0"/>
        <v>-0.5332885102762166</v>
      </c>
      <c r="L35" s="115" t="str">
        <f t="shared" si="1"/>
        <v>MET</v>
      </c>
      <c r="M35" s="148">
        <f t="shared" si="2"/>
        <v>-1175581.825882785</v>
      </c>
      <c r="N35" s="115" t="str">
        <f t="shared" si="3"/>
        <v>MET</v>
      </c>
      <c r="O35" s="124">
        <f t="shared" si="4"/>
        <v>-0.55390375265104641</v>
      </c>
      <c r="P35" s="110"/>
      <c r="Q35" s="118">
        <f>IF($F$10=" &lt;&lt;&lt; Select Index &gt;&gt;&gt;","",IF(D35="","",IF(VLOOKUP($F$10&amp;$A35,PAB_CTB_Database!$B:$O,14,FALSE)=0,"",VLOOKUP($F$10&amp;$A35,PAB_CTB_Database!$B:$O,14,FALSE))))</f>
        <v>0.26750684600000002</v>
      </c>
      <c r="R35" s="119">
        <f t="shared" si="5"/>
        <v>0.73249315399999992</v>
      </c>
      <c r="S35" s="15"/>
    </row>
    <row r="36" spans="1:19" x14ac:dyDescent="0.3">
      <c r="A36" s="84">
        <v>9</v>
      </c>
      <c r="B36" s="46"/>
      <c r="C36" s="88">
        <f>IF($F$10=" &lt;&lt;&lt; Select Index &gt;&gt;&gt;","",VLOOKUP(_xlfn.CONCAT($F$10,A36),PAB_CTB_Database!B:H,7,FALSE))</f>
        <v>44926</v>
      </c>
      <c r="D36" s="404">
        <f>IF($F$10=" &lt;&lt;&lt; Select Index &gt;&gt;&gt;","",IF(VLOOKUP($F$10&amp;$A36,PAB_CTB_Database!$B:$I,8,FALSE)=0,"",VLOOKUP($F$10&amp;$A36,PAB_CTB_Database!$B:$I,8,FALSE)))</f>
        <v>36723682.998461403</v>
      </c>
      <c r="E36" s="405"/>
      <c r="F36" s="142">
        <f>IF($F$10=" &lt;&lt;&lt; Select Index &gt;&gt;&gt;","",IF(VLOOKUP($F$10&amp;$A36,PAB_CTB_Database!$B:$J,9,FALSE)=0,"",VLOOKUP($F$10&amp;$A36,PAB_CTB_Database!$B:$J,9,FALSE)))</f>
        <v>18361841.499230701</v>
      </c>
      <c r="G36" s="142">
        <f>IF($F$10=" &lt;&lt;&lt; Select Index &gt;&gt;&gt;","",IF(VLOOKUP($F$10&amp;$A36,PAB_CTB_Database!$B:$K,10,FALSE)=0,"",VLOOKUP($F$10&amp;$A36,PAB_CTB_Database!$B:$K,10,FALSE)))</f>
        <v>18377858.718139924</v>
      </c>
      <c r="H36" s="143">
        <f>IF($F$10=" &lt;&lt;&lt; Select Index &gt;&gt;&gt;","",IF(F36="","",IF(VLOOKUP($F$10&amp;$A36,PAB_CTB_Database!$B:$L,11,FALSE)=0,"",VLOOKUP($F$10&amp;$A36,PAB_CTB_Database!$B:$L,11,FALSE))))</f>
        <v>18361841.499230701</v>
      </c>
      <c r="I36" s="144">
        <f>IF($F$10=" &lt;&lt;&lt; Select Index &gt;&gt;&gt;","",IF(F36="","",IF(VLOOKUP($F$10&amp;$A36,PAB_CTB_Database!$B:$M,12,FALSE)=0,"",VLOOKUP($F$10&amp;$A36,PAB_CTB_Database!$B:$M,12,FALSE))))</f>
        <v>17902795.461749934</v>
      </c>
      <c r="J36" s="145">
        <f>IF($F$10=" &lt;&lt;&lt; Select Index &gt;&gt;&gt;","",IF(VLOOKUP($F$10&amp;$A36,PAB_CTB_Database!$B:$N,13,FALSE)=0,"",VLOOKUP($F$10&amp;$A36,PAB_CTB_Database!$B:$N,13,FALSE)))</f>
        <v>17209364.837242499</v>
      </c>
      <c r="K36" s="105">
        <f t="shared" si="0"/>
        <v>-0.53138238237260915</v>
      </c>
      <c r="L36" s="115" t="str">
        <f t="shared" si="1"/>
        <v>MET</v>
      </c>
      <c r="M36" s="148">
        <f t="shared" si="2"/>
        <v>-1152476.6619882025</v>
      </c>
      <c r="N36" s="115" t="str">
        <f t="shared" si="3"/>
        <v>MET</v>
      </c>
      <c r="O36" s="124">
        <f t="shared" si="4"/>
        <v>-0.55659340435345195</v>
      </c>
      <c r="P36" s="110"/>
      <c r="Q36" s="118">
        <f>IF($F$10=" &lt;&lt;&lt; Select Index &gt;&gt;&gt;","",IF(D36="","",IF(VLOOKUP($F$10&amp;$A36,PAB_CTB_Database!$B:$O,14,FALSE)=0,"",VLOOKUP($F$10&amp;$A36,PAB_CTB_Database!$B:$O,14,FALSE))))</f>
        <v>0.26233427300000001</v>
      </c>
      <c r="R36" s="119">
        <f t="shared" si="5"/>
        <v>0.73766572699999999</v>
      </c>
      <c r="S36" s="15"/>
    </row>
    <row r="37" spans="1:19" x14ac:dyDescent="0.3">
      <c r="A37" s="84">
        <v>10</v>
      </c>
      <c r="B37" s="46"/>
      <c r="C37" s="88">
        <f>IF($F$10=" &lt;&lt;&lt; Select Index &gt;&gt;&gt;","",VLOOKUP(_xlfn.CONCAT($F$10,A37),PAB_CTB_Database!B:H,7,FALSE))</f>
        <v>44957</v>
      </c>
      <c r="D37" s="404">
        <f>IF($F$10=" &lt;&lt;&lt; Select Index &gt;&gt;&gt;","",IF(VLOOKUP($F$10&amp;$A37,PAB_CTB_Database!$B:$I,8,FALSE)=0,"",VLOOKUP($F$10&amp;$A37,PAB_CTB_Database!$B:$I,8,FALSE)))</f>
        <v>35918200.404645301</v>
      </c>
      <c r="E37" s="405"/>
      <c r="F37" s="142">
        <f>IF($F$10=" &lt;&lt;&lt; Select Index &gt;&gt;&gt;","",IF(VLOOKUP($F$10&amp;$A37,PAB_CTB_Database!$B:$J,9,FALSE)=0,"",VLOOKUP($F$10&amp;$A37,PAB_CTB_Database!$B:$J,9,FALSE)))</f>
        <v>17959100.202322651</v>
      </c>
      <c r="G37" s="142">
        <f>IF($F$10=" &lt;&lt;&lt; Select Index &gt;&gt;&gt;","",IF(VLOOKUP($F$10&amp;$A37,PAB_CTB_Database!$B:$K,10,FALSE)=0,"",VLOOKUP($F$10&amp;$A37,PAB_CTB_Database!$B:$K,10,FALSE)))</f>
        <v>18267052.946332503</v>
      </c>
      <c r="H37" s="143">
        <f>IF($F$10=" &lt;&lt;&lt; Select Index &gt;&gt;&gt;","",IF(F37="","",IF(VLOOKUP($F$10&amp;$A37,PAB_CTB_Database!$B:$L,11,FALSE)=0,"",VLOOKUP($F$10&amp;$A37,PAB_CTB_Database!$B:$L,11,FALSE))))</f>
        <v>17959100.202322651</v>
      </c>
      <c r="I37" s="144">
        <f>IF($F$10=" &lt;&lt;&lt; Select Index &gt;&gt;&gt;","",IF(F37="","",IF(VLOOKUP($F$10&amp;$A37,PAB_CTB_Database!$B:$M,12,FALSE)=0,"",VLOOKUP($F$10&amp;$A37,PAB_CTB_Database!$B:$M,12,FALSE))))</f>
        <v>17510122.697264586</v>
      </c>
      <c r="J37" s="145">
        <f>IF($F$10=" &lt;&lt;&lt; Select Index &gt;&gt;&gt;","",IF(VLOOKUP($F$10&amp;$A37,PAB_CTB_Database!$B:$N,13,FALSE)=0,"",VLOOKUP($F$10&amp;$A37,PAB_CTB_Database!$B:$N,13,FALSE)))</f>
        <v>17105604.2750162</v>
      </c>
      <c r="K37" s="105">
        <f t="shared" si="0"/>
        <v>-0.52376221296421266</v>
      </c>
      <c r="L37" s="115" t="str">
        <f t="shared" si="1"/>
        <v>MET</v>
      </c>
      <c r="M37" s="148">
        <f t="shared" si="2"/>
        <v>-853495.9273064509</v>
      </c>
      <c r="N37" s="115" t="str">
        <f t="shared" si="3"/>
        <v>MET</v>
      </c>
      <c r="O37" s="124">
        <f t="shared" si="4"/>
        <v>-0.55926683931716248</v>
      </c>
      <c r="P37" s="110"/>
      <c r="Q37" s="118">
        <f>IF($F$10=" &lt;&lt;&lt; Select Index &gt;&gt;&gt;","",IF(D37="","",IF(VLOOKUP($F$10&amp;$A37,PAB_CTB_Database!$B:$O,14,FALSE)=0,"",VLOOKUP($F$10&amp;$A37,PAB_CTB_Database!$B:$O,14,FALSE))))</f>
        <v>0.264217388</v>
      </c>
      <c r="R37" s="119">
        <f t="shared" si="5"/>
        <v>0.73578261199999995</v>
      </c>
      <c r="S37" s="15"/>
    </row>
    <row r="38" spans="1:19" x14ac:dyDescent="0.3">
      <c r="A38" s="84">
        <v>11</v>
      </c>
      <c r="B38" s="46"/>
      <c r="C38" s="88">
        <f>IF($F$10=" &lt;&lt;&lt; Select Index &gt;&gt;&gt;","",VLOOKUP(_xlfn.CONCAT($F$10,A38),PAB_CTB_Database!B:H,7,FALSE))</f>
        <v>44985</v>
      </c>
      <c r="D38" s="404">
        <f>IF($F$10=" &lt;&lt;&lt; Select Index &gt;&gt;&gt;","",IF(VLOOKUP($F$10&amp;$A38,PAB_CTB_Database!$B:$I,8,FALSE)=0,"",VLOOKUP($F$10&amp;$A38,PAB_CTB_Database!$B:$I,8,FALSE)))</f>
        <v>35647692.4984475</v>
      </c>
      <c r="E38" s="405"/>
      <c r="F38" s="142">
        <f>IF($F$10=" &lt;&lt;&lt; Select Index &gt;&gt;&gt;","",IF(VLOOKUP($F$10&amp;$A38,PAB_CTB_Database!$B:$J,9,FALSE)=0,"",VLOOKUP($F$10&amp;$A38,PAB_CTB_Database!$B:$J,9,FALSE)))</f>
        <v>17823846.24922375</v>
      </c>
      <c r="G38" s="142">
        <f>IF($F$10=" &lt;&lt;&lt; Select Index &gt;&gt;&gt;","",IF(VLOOKUP($F$10&amp;$A38,PAB_CTB_Database!$B:$K,10,FALSE)=0,"",VLOOKUP($F$10&amp;$A38,PAB_CTB_Database!$B:$K,10,FALSE)))</f>
        <v>18156915.256658811</v>
      </c>
      <c r="H38" s="143">
        <f>IF($F$10=" &lt;&lt;&lt; Select Index &gt;&gt;&gt;","",IF(F38="","",IF(VLOOKUP($F$10&amp;$A38,PAB_CTB_Database!$B:$L,11,FALSE)=0,"",VLOOKUP($F$10&amp;$A38,PAB_CTB_Database!$B:$L,11,FALSE))))</f>
        <v>17823846.24922375</v>
      </c>
      <c r="I38" s="144">
        <f>IF($F$10=" &lt;&lt;&lt; Select Index &gt;&gt;&gt;","",IF(F38="","",IF(VLOOKUP($F$10&amp;$A38,PAB_CTB_Database!$B:$M,12,FALSE)=0,"",VLOOKUP($F$10&amp;$A38,PAB_CTB_Database!$B:$M,12,FALSE))))</f>
        <v>17378250.092993155</v>
      </c>
      <c r="J38" s="145">
        <f>IF($F$10=" &lt;&lt;&lt; Select Index &gt;&gt;&gt;","",IF(VLOOKUP($F$10&amp;$A38,PAB_CTB_Database!$B:$N,13,FALSE)=0,"",VLOOKUP($F$10&amp;$A38,PAB_CTB_Database!$B:$N,13,FALSE)))</f>
        <v>17002469.317184899</v>
      </c>
      <c r="K38" s="105">
        <f t="shared" si="0"/>
        <v>-0.5230415175421137</v>
      </c>
      <c r="L38" s="115" t="str">
        <f t="shared" si="1"/>
        <v>MET</v>
      </c>
      <c r="M38" s="148">
        <f t="shared" si="2"/>
        <v>-821376.93203885108</v>
      </c>
      <c r="N38" s="115" t="str">
        <f t="shared" si="3"/>
        <v>MET</v>
      </c>
      <c r="O38" s="124">
        <f t="shared" si="4"/>
        <v>-0.56192415531787632</v>
      </c>
      <c r="P38" s="110"/>
      <c r="Q38" s="118">
        <f>IF($F$10=" &lt;&lt;&lt; Select Index &gt;&gt;&gt;","",IF(D38="","",IF(VLOOKUP($F$10&amp;$A38,PAB_CTB_Database!$B:$O,14,FALSE)=0,"",VLOOKUP($F$10&amp;$A38,PAB_CTB_Database!$B:$O,14,FALSE))))</f>
        <v>0.27119350199999998</v>
      </c>
      <c r="R38" s="119">
        <f t="shared" si="5"/>
        <v>0.72880649799999997</v>
      </c>
      <c r="S38" s="15"/>
    </row>
    <row r="39" spans="1:19" x14ac:dyDescent="0.3">
      <c r="A39" s="84">
        <v>12</v>
      </c>
      <c r="B39" s="46"/>
      <c r="C39" s="88">
        <f>IF($F$10=" &lt;&lt;&lt; Select Index &gt;&gt;&gt;","",VLOOKUP(_xlfn.CONCAT($F$10,A39),PAB_CTB_Database!B:H,7,FALSE))</f>
        <v>45016</v>
      </c>
      <c r="D39" s="404">
        <f>IF($F$10=" &lt;&lt;&lt; Select Index &gt;&gt;&gt;","",IF(VLOOKUP($F$10&amp;$A39,PAB_CTB_Database!$B:$I,8,FALSE)=0,"",VLOOKUP($F$10&amp;$A39,PAB_CTB_Database!$B:$I,8,FALSE)))</f>
        <v>36739599.914886199</v>
      </c>
      <c r="E39" s="405"/>
      <c r="F39" s="142">
        <f>IF($F$10=" &lt;&lt;&lt; Select Index &gt;&gt;&gt;","",IF(VLOOKUP($F$10&amp;$A39,PAB_CTB_Database!$B:$J,9,FALSE)=0,"",VLOOKUP($F$10&amp;$A39,PAB_CTB_Database!$B:$J,9,FALSE)))</f>
        <v>18369799.957443099</v>
      </c>
      <c r="G39" s="142">
        <f>IF($F$10=" &lt;&lt;&lt; Select Index &gt;&gt;&gt;","",IF(VLOOKUP($F$10&amp;$A39,PAB_CTB_Database!$B:$K,10,FALSE)=0,"",VLOOKUP($F$10&amp;$A39,PAB_CTB_Database!$B:$K,10,FALSE)))</f>
        <v>18047441.621045854</v>
      </c>
      <c r="H39" s="143">
        <f>IF($F$10=" &lt;&lt;&lt; Select Index &gt;&gt;&gt;","",IF(F39="","",IF(VLOOKUP($F$10&amp;$A39,PAB_CTB_Database!$B:$L,11,FALSE)=0,"",VLOOKUP($F$10&amp;$A39,PAB_CTB_Database!$B:$L,11,FALSE))))</f>
        <v>18047441.621045854</v>
      </c>
      <c r="I39" s="144">
        <f>IF($F$10=" &lt;&lt;&lt; Select Index &gt;&gt;&gt;","",IF(F39="","",IF(VLOOKUP($F$10&amp;$A39,PAB_CTB_Database!$B:$M,12,FALSE)=0,"",VLOOKUP($F$10&amp;$A39,PAB_CTB_Database!$B:$M,12,FALSE))))</f>
        <v>17596255.580519706</v>
      </c>
      <c r="J39" s="145">
        <f>IF($F$10=" &lt;&lt;&lt; Select Index &gt;&gt;&gt;","",IF(VLOOKUP($F$10&amp;$A39,PAB_CTB_Database!$B:$N,13,FALSE)=0,"",VLOOKUP($F$10&amp;$A39,PAB_CTB_Database!$B:$N,13,FALSE)))</f>
        <v>16899956.191785801</v>
      </c>
      <c r="K39" s="105">
        <f t="shared" si="0"/>
        <v>-0.54000707054683372</v>
      </c>
      <c r="L39" s="115" t="str">
        <f t="shared" si="1"/>
        <v>MET</v>
      </c>
      <c r="M39" s="148">
        <f t="shared" si="2"/>
        <v>-1147485.4292600527</v>
      </c>
      <c r="N39" s="115" t="str">
        <f t="shared" si="3"/>
        <v>MET</v>
      </c>
      <c r="O39" s="124">
        <f t="shared" si="4"/>
        <v>-0.56456544954181731</v>
      </c>
      <c r="P39" s="110"/>
      <c r="Q39" s="118">
        <f>IF($F$10=" &lt;&lt;&lt; Select Index &gt;&gt;&gt;","",IF(D39="","",IF(VLOOKUP($F$10&amp;$A39,PAB_CTB_Database!$B:$O,14,FALSE)=0,"",VLOOKUP($F$10&amp;$A39,PAB_CTB_Database!$B:$O,14,FALSE))))</f>
        <v>0.26692944400000002</v>
      </c>
      <c r="R39" s="119">
        <f t="shared" si="5"/>
        <v>0.73307055599999993</v>
      </c>
      <c r="S39" s="15"/>
    </row>
    <row r="40" spans="1:19" x14ac:dyDescent="0.3">
      <c r="A40" s="84">
        <v>13</v>
      </c>
      <c r="B40" s="46"/>
      <c r="C40" s="88">
        <f>IF($F$10=" &lt;&lt;&lt; Select Index &gt;&gt;&gt;","",VLOOKUP(_xlfn.CONCAT($F$10,A40),PAB_CTB_Database!B:H,7,FALSE))</f>
        <v>45046</v>
      </c>
      <c r="D40" s="404">
        <f>IF($F$10=" &lt;&lt;&lt; Select Index &gt;&gt;&gt;","",IF(VLOOKUP($F$10&amp;$A40,PAB_CTB_Database!$B:$I,8,FALSE)=0,"",VLOOKUP($F$10&amp;$A40,PAB_CTB_Database!$B:$I,8,FALSE)))</f>
        <v>41988438.821379602</v>
      </c>
      <c r="E40" s="405"/>
      <c r="F40" s="142">
        <f>IF($F$10=" &lt;&lt;&lt; Select Index &gt;&gt;&gt;","",IF(VLOOKUP($F$10&amp;$A40,PAB_CTB_Database!$B:$J,9,FALSE)=0,"",VLOOKUP($F$10&amp;$A40,PAB_CTB_Database!$B:$J,9,FALSE)))</f>
        <v>20994219.410689801</v>
      </c>
      <c r="G40" s="142">
        <f>IF($F$10=" &lt;&lt;&lt; Select Index &gt;&gt;&gt;","",IF(VLOOKUP($F$10&amp;$A40,PAB_CTB_Database!$B:$K,10,FALSE)=0,"",VLOOKUP($F$10&amp;$A40,PAB_CTB_Database!$B:$K,10,FALSE)))</f>
        <v>17938628.035707127</v>
      </c>
      <c r="H40" s="143">
        <f>IF($F$10=" &lt;&lt;&lt; Select Index &gt;&gt;&gt;","",IF(F40="","",IF(VLOOKUP($F$10&amp;$A40,PAB_CTB_Database!$B:$L,11,FALSE)=0,"",VLOOKUP($F$10&amp;$A40,PAB_CTB_Database!$B:$L,11,FALSE))))</f>
        <v>17938628.035707127</v>
      </c>
      <c r="I40" s="144">
        <f>IF($F$10=" &lt;&lt;&lt; Select Index &gt;&gt;&gt;","",IF(F40="","",IF(VLOOKUP($F$10&amp;$A40,PAB_CTB_Database!$B:$M,12,FALSE)=0,"",VLOOKUP($F$10&amp;$A40,PAB_CTB_Database!$B:$M,12,FALSE))))</f>
        <v>17490162.334814448</v>
      </c>
      <c r="J40" s="145">
        <f>IF($F$10=" &lt;&lt;&lt; Select Index &gt;&gt;&gt;","",IF(VLOOKUP($F$10&amp;$A40,PAB_CTB_Database!$B:$N,13,FALSE)=0,"",VLOOKUP($F$10&amp;$A40,PAB_CTB_Database!$B:$N,13,FALSE)))</f>
        <v>16798061.1495995</v>
      </c>
      <c r="K40" s="105">
        <f t="shared" si="0"/>
        <v>-0.59993603903543347</v>
      </c>
      <c r="L40" s="115" t="str">
        <f t="shared" si="1"/>
        <v>MET</v>
      </c>
      <c r="M40" s="148">
        <f t="shared" si="2"/>
        <v>-1140566.8861076273</v>
      </c>
      <c r="N40" s="115" t="str">
        <f t="shared" si="3"/>
        <v>MET</v>
      </c>
      <c r="O40" s="124">
        <f t="shared" si="4"/>
        <v>-0.56719081858921605</v>
      </c>
      <c r="P40" s="110"/>
      <c r="Q40" s="118">
        <f>IF($F$10=" &lt;&lt;&lt; Select Index &gt;&gt;&gt;","",IF(D40="","",IF(VLOOKUP($F$10&amp;$A40,PAB_CTB_Database!$B:$O,14,FALSE)=0,"",VLOOKUP($F$10&amp;$A40,PAB_CTB_Database!$B:$O,14,FALSE))))</f>
        <v>0.28722115799999998</v>
      </c>
      <c r="R40" s="119">
        <f t="shared" si="5"/>
        <v>0.71277884200000008</v>
      </c>
      <c r="S40" s="15"/>
    </row>
    <row r="41" spans="1:19" x14ac:dyDescent="0.3">
      <c r="A41" s="84">
        <v>14</v>
      </c>
      <c r="B41" s="46"/>
      <c r="C41" s="88">
        <f>IF($F$10=" &lt;&lt;&lt; Select Index &gt;&gt;&gt;","",VLOOKUP(_xlfn.CONCAT($F$10,A41),PAB_CTB_Database!B:H,7,FALSE))</f>
        <v>45077</v>
      </c>
      <c r="D41" s="404">
        <f>IF($F$10=" &lt;&lt;&lt; Select Index &gt;&gt;&gt;","",IF(VLOOKUP($F$10&amp;$A41,PAB_CTB_Database!$B:$I,8,FALSE)=0,"",VLOOKUP($F$10&amp;$A41,PAB_CTB_Database!$B:$I,8,FALSE)))</f>
        <v>40140010.051858097</v>
      </c>
      <c r="E41" s="405"/>
      <c r="F41" s="142">
        <f>IF($F$10=" &lt;&lt;&lt; Select Index &gt;&gt;&gt;","",IF(VLOOKUP($F$10&amp;$A41,PAB_CTB_Database!$B:$J,9,FALSE)=0,"",VLOOKUP($F$10&amp;$A41,PAB_CTB_Database!$B:$J,9,FALSE)))</f>
        <v>20070005.025929049</v>
      </c>
      <c r="G41" s="142">
        <f>IF($F$10=" &lt;&lt;&lt; Select Index &gt;&gt;&gt;","",IF(VLOOKUP($F$10&amp;$A41,PAB_CTB_Database!$B:$K,10,FALSE)=0,"",VLOOKUP($F$10&amp;$A41,PAB_CTB_Database!$B:$K,10,FALSE)))</f>
        <v>17830470.520996191</v>
      </c>
      <c r="H41" s="143">
        <f>IF($F$10=" &lt;&lt;&lt; Select Index &gt;&gt;&gt;","",IF(F41="","",IF(VLOOKUP($F$10&amp;$A41,PAB_CTB_Database!$B:$L,11,FALSE)=0,"",VLOOKUP($F$10&amp;$A41,PAB_CTB_Database!$B:$L,11,FALSE))))</f>
        <v>17830470.520996191</v>
      </c>
      <c r="I41" s="144">
        <f>IF($F$10=" &lt;&lt;&lt; Select Index &gt;&gt;&gt;","",IF(F41="","",IF(VLOOKUP($F$10&amp;$A41,PAB_CTB_Database!$B:$M,12,FALSE)=0,"",VLOOKUP($F$10&amp;$A41,PAB_CTB_Database!$B:$M,12,FALSE))))</f>
        <v>17384708.757971287</v>
      </c>
      <c r="J41" s="145">
        <f>IF($F$10=" &lt;&lt;&lt; Select Index &gt;&gt;&gt;","",IF(VLOOKUP($F$10&amp;$A41,PAB_CTB_Database!$B:$N,13,FALSE)=0,"",VLOOKUP($F$10&amp;$A41,PAB_CTB_Database!$B:$N,13,FALSE)))</f>
        <v>16696780.4640161</v>
      </c>
      <c r="K41" s="105">
        <f t="shared" si="0"/>
        <v>-0.5840364653012039</v>
      </c>
      <c r="L41" s="115" t="str">
        <f t="shared" si="1"/>
        <v>MET</v>
      </c>
      <c r="M41" s="148">
        <f t="shared" si="2"/>
        <v>-1133690.0569800902</v>
      </c>
      <c r="N41" s="115" t="str">
        <f t="shared" si="3"/>
        <v>MET</v>
      </c>
      <c r="O41" s="124">
        <f t="shared" si="4"/>
        <v>-0.56980035847775967</v>
      </c>
      <c r="P41" s="110"/>
      <c r="Q41" s="118">
        <f>IF($F$10=" &lt;&lt;&lt; Select Index &gt;&gt;&gt;","",IF(D41="","",IF(VLOOKUP($F$10&amp;$A41,PAB_CTB_Database!$B:$O,14,FALSE)=0,"",VLOOKUP($F$10&amp;$A41,PAB_CTB_Database!$B:$O,14,FALSE))))</f>
        <v>0.28882286899999998</v>
      </c>
      <c r="R41" s="119">
        <f t="shared" si="5"/>
        <v>0.71117713100000002</v>
      </c>
      <c r="S41" s="15"/>
    </row>
    <row r="42" spans="1:19" x14ac:dyDescent="0.3">
      <c r="A42" s="84">
        <v>15</v>
      </c>
      <c r="B42" s="46"/>
      <c r="C42" s="88">
        <f>IF($F$10=" &lt;&lt;&lt; Select Index &gt;&gt;&gt;","",VLOOKUP(_xlfn.CONCAT($F$10,A42),PAB_CTB_Database!B:H,7,FALSE))</f>
        <v>45107</v>
      </c>
      <c r="D42" s="404">
        <f>IF($F$10=" &lt;&lt;&lt; Select Index &gt;&gt;&gt;","",IF(VLOOKUP($F$10&amp;$A42,PAB_CTB_Database!$B:$I,8,FALSE)=0,"",VLOOKUP($F$10&amp;$A42,PAB_CTB_Database!$B:$I,8,FALSE)))</f>
        <v>41824094.096284002</v>
      </c>
      <c r="E42" s="405"/>
      <c r="F42" s="142">
        <f>IF($F$10=" &lt;&lt;&lt; Select Index &gt;&gt;&gt;","",IF(VLOOKUP($F$10&amp;$A42,PAB_CTB_Database!$B:$J,9,FALSE)=0,"",VLOOKUP($F$10&amp;$A42,PAB_CTB_Database!$B:$J,9,FALSE)))</f>
        <v>20912047.048142001</v>
      </c>
      <c r="G42" s="142">
        <f>IF($F$10=" &lt;&lt;&lt; Select Index &gt;&gt;&gt;","",IF(VLOOKUP($F$10&amp;$A42,PAB_CTB_Database!$B:$K,10,FALSE)=0,"",VLOOKUP($F$10&amp;$A42,PAB_CTB_Database!$B:$K,10,FALSE)))</f>
        <v>17722965.121261109</v>
      </c>
      <c r="H42" s="143">
        <f>IF($F$10=" &lt;&lt;&lt; Select Index &gt;&gt;&gt;","",IF(F42="","",IF(VLOOKUP($F$10&amp;$A42,PAB_CTB_Database!$B:$L,11,FALSE)=0,"",VLOOKUP($F$10&amp;$A42,PAB_CTB_Database!$B:$L,11,FALSE))))</f>
        <v>17722965.121261109</v>
      </c>
      <c r="I42" s="144">
        <f>IF($F$10=" &lt;&lt;&lt; Select Index &gt;&gt;&gt;","",IF(F42="","",IF(VLOOKUP($F$10&amp;$A42,PAB_CTB_Database!$B:$M,12,FALSE)=0,"",VLOOKUP($F$10&amp;$A42,PAB_CTB_Database!$B:$M,12,FALSE))))</f>
        <v>17279890.993229579</v>
      </c>
      <c r="J42" s="145">
        <f>IF($F$10=" &lt;&lt;&lt; Select Index &gt;&gt;&gt;","",IF(VLOOKUP($F$10&amp;$A42,PAB_CTB_Database!$B:$N,13,FALSE)=0,"",VLOOKUP($F$10&amp;$A42,PAB_CTB_Database!$B:$N,13,FALSE)))</f>
        <v>16596110.430885701</v>
      </c>
      <c r="K42" s="105">
        <f t="shared" si="0"/>
        <v>-0.60319259055128616</v>
      </c>
      <c r="L42" s="115" t="str">
        <f t="shared" si="1"/>
        <v>MET</v>
      </c>
      <c r="M42" s="148">
        <f t="shared" si="2"/>
        <v>-1126854.6903754082</v>
      </c>
      <c r="N42" s="115" t="str">
        <f t="shared" si="3"/>
        <v>MET</v>
      </c>
      <c r="O42" s="124">
        <f t="shared" si="4"/>
        <v>-0.57239416464644388</v>
      </c>
      <c r="P42" s="110"/>
      <c r="Q42" s="118">
        <f>IF($F$10=" &lt;&lt;&lt; Select Index &gt;&gt;&gt;","",IF(D42="","",IF(VLOOKUP($F$10&amp;$A42,PAB_CTB_Database!$B:$O,14,FALSE)=0,"",VLOOKUP($F$10&amp;$A42,PAB_CTB_Database!$B:$O,14,FALSE))))</f>
        <v>0.28929765800000001</v>
      </c>
      <c r="R42" s="119">
        <f t="shared" si="5"/>
        <v>0.71070234200000004</v>
      </c>
      <c r="S42" s="15"/>
    </row>
    <row r="43" spans="1:19" x14ac:dyDescent="0.3">
      <c r="A43" s="84">
        <v>16</v>
      </c>
      <c r="B43" s="45"/>
      <c r="C43" s="88">
        <f>IF($F$10=" &lt;&lt;&lt; Select Index &gt;&gt;&gt;","",VLOOKUP(_xlfn.CONCAT($F$10,A43),PAB_CTB_Database!B:H,7,FALSE))</f>
        <v>45138</v>
      </c>
      <c r="D43" s="402">
        <f>IF($F$10=" &lt;&lt;&lt; Select Index &gt;&gt;&gt;","",IF(VLOOKUP($F$10&amp;$A43,PAB_CTB_Database!$B:$I,8,FALSE)=0,"",VLOOKUP($F$10&amp;$A43,PAB_CTB_Database!$B:$I,8,FALSE)))</f>
        <v>39014504.108002499</v>
      </c>
      <c r="E43" s="403"/>
      <c r="F43" s="138">
        <f>IF($F$10=" &lt;&lt;&lt; Select Index &gt;&gt;&gt;","",IF(VLOOKUP($F$10&amp;$A43,PAB_CTB_Database!$B:$J,9,FALSE)=0,"",VLOOKUP($F$10&amp;$A43,PAB_CTB_Database!$B:$J,9,FALSE)))</f>
        <v>19507252.054001249</v>
      </c>
      <c r="G43" s="138">
        <f>IF($F$10=" &lt;&lt;&lt; Select Index &gt;&gt;&gt;","",IF(VLOOKUP($F$10&amp;$A43,PAB_CTB_Database!$B:$K,10,FALSE)=0,"",VLOOKUP($F$10&amp;$A43,PAB_CTB_Database!$B:$K,10,FALSE)))</f>
        <v>17616107.904699802</v>
      </c>
      <c r="H43" s="139">
        <f>IF($F$10=" &lt;&lt;&lt; Select Index &gt;&gt;&gt;","",IF(F43="","",IF(VLOOKUP($F$10&amp;$A43,PAB_CTB_Database!$B:$L,11,FALSE)=0,"",VLOOKUP($F$10&amp;$A43,PAB_CTB_Database!$B:$L,11,FALSE))))</f>
        <v>17616107.904699802</v>
      </c>
      <c r="I43" s="140">
        <f>IF($F$10=" &lt;&lt;&lt; Select Index &gt;&gt;&gt;","",IF(F43="","",IF(VLOOKUP($F$10&amp;$A43,PAB_CTB_Database!$B:$M,12,FALSE)=0,"",VLOOKUP($F$10&amp;$A43,PAB_CTB_Database!$B:$M,12,FALSE))))</f>
        <v>17175705.207082305</v>
      </c>
      <c r="J43" s="141">
        <f>IF($F$10=" &lt;&lt;&lt; Select Index &gt;&gt;&gt;","",IF(VLOOKUP($F$10&amp;$A43,PAB_CTB_Database!$B:$N,13,FALSE)=0,"",VLOOKUP($F$10&amp;$A43,PAB_CTB_Database!$B:$N,13,FALSE)))</f>
        <v>16496047.3683926</v>
      </c>
      <c r="K43" s="112">
        <f t="shared" si="0"/>
        <v>-0.57718167267416332</v>
      </c>
      <c r="L43" s="114" t="str">
        <f t="shared" si="1"/>
        <v>MET</v>
      </c>
      <c r="M43" s="147">
        <f t="shared" si="2"/>
        <v>-1120060.5363072027</v>
      </c>
      <c r="N43" s="114" t="str">
        <f t="shared" si="3"/>
        <v>MET</v>
      </c>
      <c r="O43" s="123">
        <f t="shared" si="4"/>
        <v>-0.57497233195881414</v>
      </c>
      <c r="P43" s="110"/>
      <c r="Q43" s="118">
        <f>IF($F$10=" &lt;&lt;&lt; Select Index &gt;&gt;&gt;","",IF(D43="","",IF(VLOOKUP($F$10&amp;$A43,PAB_CTB_Database!$B:$O,14,FALSE)=0,"",VLOOKUP($F$10&amp;$A43,PAB_CTB_Database!$B:$O,14,FALSE))))</f>
        <v>0.26845122300000002</v>
      </c>
      <c r="R43" s="119">
        <f t="shared" si="5"/>
        <v>0.73154877699999998</v>
      </c>
      <c r="S43" s="15"/>
    </row>
    <row r="44" spans="1:19" x14ac:dyDescent="0.3">
      <c r="A44" s="84">
        <v>17</v>
      </c>
      <c r="B44" s="46"/>
      <c r="C44" s="88">
        <f>IF($F$10=" &lt;&lt;&lt; Select Index &gt;&gt;&gt;","",VLOOKUP(_xlfn.CONCAT($F$10,A44),PAB_CTB_Database!B:H,7,FALSE))</f>
        <v>45169</v>
      </c>
      <c r="D44" s="404">
        <f>IF($F$10=" &lt;&lt;&lt; Select Index &gt;&gt;&gt;","",IF(VLOOKUP($F$10&amp;$A44,PAB_CTB_Database!$B:$I,8,FALSE)=0,"",VLOOKUP($F$10&amp;$A44,PAB_CTB_Database!$B:$I,8,FALSE)))</f>
        <v>38733688.212963499</v>
      </c>
      <c r="E44" s="405"/>
      <c r="F44" s="142">
        <f>IF($F$10=" &lt;&lt;&lt; Select Index &gt;&gt;&gt;","",IF(VLOOKUP($F$10&amp;$A44,PAB_CTB_Database!$B:$J,9,FALSE)=0,"",VLOOKUP($F$10&amp;$A44,PAB_CTB_Database!$B:$J,9,FALSE)))</f>
        <v>19366844.10648175</v>
      </c>
      <c r="G44" s="142">
        <f>IF($F$10=" &lt;&lt;&lt; Select Index &gt;&gt;&gt;","",IF(VLOOKUP($F$10&amp;$A44,PAB_CTB_Database!$B:$K,10,FALSE)=0,"",VLOOKUP($F$10&amp;$A44,PAB_CTB_Database!$B:$K,10,FALSE)))</f>
        <v>17509894.963216234</v>
      </c>
      <c r="H44" s="143">
        <f>IF($F$10=" &lt;&lt;&lt; Select Index &gt;&gt;&gt;","",IF(F44="","",IF(VLOOKUP($F$10&amp;$A44,PAB_CTB_Database!$B:$L,11,FALSE)=0,"",VLOOKUP($F$10&amp;$A44,PAB_CTB_Database!$B:$L,11,FALSE))))</f>
        <v>17509894.963216234</v>
      </c>
      <c r="I44" s="144">
        <f>IF($F$10=" &lt;&lt;&lt; Select Index &gt;&gt;&gt;","",IF(F44="","",IF(VLOOKUP($F$10&amp;$A44,PAB_CTB_Database!$B:$M,12,FALSE)=0,"",VLOOKUP($F$10&amp;$A44,PAB_CTB_Database!$B:$M,12,FALSE))))</f>
        <v>17072147.589135829</v>
      </c>
      <c r="J44" s="145">
        <f>IF($F$10=" &lt;&lt;&lt; Select Index &gt;&gt;&gt;","",IF(VLOOKUP($F$10&amp;$A44,PAB_CTB_Database!$B:$N,13,FALSE)=0,"",VLOOKUP($F$10&amp;$A44,PAB_CTB_Database!$B:$N,13,FALSE)))</f>
        <v>16396587.616943199</v>
      </c>
      <c r="K44" s="105">
        <f t="shared" si="0"/>
        <v>-0.57668406048005671</v>
      </c>
      <c r="L44" s="115" t="str">
        <f t="shared" si="1"/>
        <v>MET</v>
      </c>
      <c r="M44" s="148">
        <f t="shared" si="2"/>
        <v>-1113307.3462730348</v>
      </c>
      <c r="N44" s="115" t="str">
        <f t="shared" si="3"/>
        <v>MET</v>
      </c>
      <c r="O44" s="124">
        <f t="shared" si="4"/>
        <v>-0.57753495470585425</v>
      </c>
      <c r="P44" s="110"/>
      <c r="Q44" s="118">
        <f>IF($F$10=" &lt;&lt;&lt; Select Index &gt;&gt;&gt;","",IF(D44="","",IF(VLOOKUP($F$10&amp;$A44,PAB_CTB_Database!$B:$O,14,FALSE)=0,"",VLOOKUP($F$10&amp;$A44,PAB_CTB_Database!$B:$O,14,FALSE))))</f>
        <v>0.26584661900000001</v>
      </c>
      <c r="R44" s="119">
        <f t="shared" si="5"/>
        <v>0.73415338100000005</v>
      </c>
      <c r="S44" s="15"/>
    </row>
    <row r="45" spans="1:19" x14ac:dyDescent="0.3">
      <c r="A45" s="84">
        <v>18</v>
      </c>
      <c r="B45" s="46"/>
      <c r="C45" s="88">
        <f>IF($F$10=" &lt;&lt;&lt; Select Index &gt;&gt;&gt;","",VLOOKUP(_xlfn.CONCAT($F$10,A45),PAB_CTB_Database!B:H,7,FALSE))</f>
        <v>45199</v>
      </c>
      <c r="D45" s="404">
        <f>IF($F$10=" &lt;&lt;&lt; Select Index &gt;&gt;&gt;","",IF(VLOOKUP($F$10&amp;$A45,PAB_CTB_Database!$B:$I,8,FALSE)=0,"",VLOOKUP($F$10&amp;$A45,PAB_CTB_Database!$B:$I,8,FALSE)))</f>
        <v>37920655.649989299</v>
      </c>
      <c r="E45" s="405"/>
      <c r="F45" s="142">
        <f>IF($F$10=" &lt;&lt;&lt; Select Index &gt;&gt;&gt;","",IF(VLOOKUP($F$10&amp;$A45,PAB_CTB_Database!$B:$J,9,FALSE)=0,"",VLOOKUP($F$10&amp;$A45,PAB_CTB_Database!$B:$J,9,FALSE)))</f>
        <v>18960327.82499465</v>
      </c>
      <c r="G45" s="142">
        <f>IF($F$10=" &lt;&lt;&lt; Select Index &gt;&gt;&gt;","",IF(VLOOKUP($F$10&amp;$A45,PAB_CTB_Database!$B:$K,10,FALSE)=0,"",VLOOKUP($F$10&amp;$A45,PAB_CTB_Database!$B:$K,10,FALSE)))</f>
        <v>17404322.412277479</v>
      </c>
      <c r="H45" s="143">
        <f>IF($F$10=" &lt;&lt;&lt; Select Index &gt;&gt;&gt;","",IF(F45="","",IF(VLOOKUP($F$10&amp;$A45,PAB_CTB_Database!$B:$L,11,FALSE)=0,"",VLOOKUP($F$10&amp;$A45,PAB_CTB_Database!$B:$L,11,FALSE))))</f>
        <v>17404322.412277479</v>
      </c>
      <c r="I45" s="144">
        <f>IF($F$10=" &lt;&lt;&lt; Select Index &gt;&gt;&gt;","",IF(F45="","",IF(VLOOKUP($F$10&amp;$A45,PAB_CTB_Database!$B:$M,12,FALSE)=0,"",VLOOKUP($F$10&amp;$A45,PAB_CTB_Database!$B:$M,12,FALSE))))</f>
        <v>16969214.351970542</v>
      </c>
      <c r="J45" s="145">
        <f>IF($F$10=" &lt;&lt;&lt; Select Index &gt;&gt;&gt;","",IF(VLOOKUP($F$10&amp;$A45,PAB_CTB_Database!$B:$N,13,FALSE)=0,"",VLOOKUP($F$10&amp;$A45,PAB_CTB_Database!$B:$N,13,FALSE)))</f>
        <v>16297727.5389667</v>
      </c>
      <c r="K45" s="105">
        <f t="shared" si="0"/>
        <v>-0.57021503822623654</v>
      </c>
      <c r="L45" s="115" t="str">
        <f t="shared" si="1"/>
        <v>MET</v>
      </c>
      <c r="M45" s="148">
        <f t="shared" si="2"/>
        <v>-1106594.8733107783</v>
      </c>
      <c r="N45" s="115" t="str">
        <f t="shared" si="3"/>
        <v>MET</v>
      </c>
      <c r="O45" s="124">
        <f t="shared" si="4"/>
        <v>-0.58008212661112113</v>
      </c>
      <c r="P45" s="110"/>
      <c r="Q45" s="118">
        <f>IF($F$10=" &lt;&lt;&lt; Select Index &gt;&gt;&gt;","",IF(D45="","",IF(VLOOKUP($F$10&amp;$A45,PAB_CTB_Database!$B:$O,14,FALSE)=0,"",VLOOKUP($F$10&amp;$A45,PAB_CTB_Database!$B:$O,14,FALSE))))</f>
        <v>0.26404258600000002</v>
      </c>
      <c r="R45" s="119">
        <f t="shared" si="5"/>
        <v>0.73595741400000003</v>
      </c>
      <c r="S45" s="15"/>
    </row>
    <row r="46" spans="1:19" x14ac:dyDescent="0.3">
      <c r="A46" s="84">
        <v>19</v>
      </c>
      <c r="B46" s="46"/>
      <c r="C46" s="88">
        <f>IF($F$10=" &lt;&lt;&lt; Select Index &gt;&gt;&gt;","",VLOOKUP(_xlfn.CONCAT($F$10,A46),PAB_CTB_Database!B:H,7,FALSE))</f>
        <v>45230</v>
      </c>
      <c r="D46" s="404">
        <f>IF($F$10=" &lt;&lt;&lt; Select Index &gt;&gt;&gt;","",IF(VLOOKUP($F$10&amp;$A46,PAB_CTB_Database!$B:$I,8,FALSE)=0,"",VLOOKUP($F$10&amp;$A46,PAB_CTB_Database!$B:$I,8,FALSE)))</f>
        <v>33970669.8797663</v>
      </c>
      <c r="E46" s="405"/>
      <c r="F46" s="142">
        <f>IF($F$10=" &lt;&lt;&lt; Select Index &gt;&gt;&gt;","",IF(VLOOKUP($F$10&amp;$A46,PAB_CTB_Database!$B:$J,9,FALSE)=0,"",VLOOKUP($F$10&amp;$A46,PAB_CTB_Database!$B:$J,9,FALSE)))</f>
        <v>16985334.93988315</v>
      </c>
      <c r="G46" s="142">
        <f>IF($F$10=" &lt;&lt;&lt; Select Index &gt;&gt;&gt;","",IF(VLOOKUP($F$10&amp;$A46,PAB_CTB_Database!$B:$K,10,FALSE)=0,"",VLOOKUP($F$10&amp;$A46,PAB_CTB_Database!$B:$K,10,FALSE)))</f>
        <v>17299386.390771661</v>
      </c>
      <c r="H46" s="143">
        <f>IF($F$10=" &lt;&lt;&lt; Select Index &gt;&gt;&gt;","",IF(F46="","",IF(VLOOKUP($F$10&amp;$A46,PAB_CTB_Database!$B:$L,11,FALSE)=0,"",VLOOKUP($F$10&amp;$A46,PAB_CTB_Database!$B:$L,11,FALSE))))</f>
        <v>16985334.93988315</v>
      </c>
      <c r="I46" s="144">
        <f>IF($F$10=" &lt;&lt;&lt; Select Index &gt;&gt;&gt;","",IF(F46="","",IF(VLOOKUP($F$10&amp;$A46,PAB_CTB_Database!$B:$M,12,FALSE)=0,"",VLOOKUP($F$10&amp;$A46,PAB_CTB_Database!$B:$M,12,FALSE))))</f>
        <v>16560701.56638607</v>
      </c>
      <c r="J46" s="145">
        <f>IF($F$10=" &lt;&lt;&lt; Select Index &gt;&gt;&gt;","",IF(VLOOKUP($F$10&amp;$A46,PAB_CTB_Database!$B:$N,13,FALSE)=0,"",VLOOKUP($F$10&amp;$A46,PAB_CTB_Database!$B:$N,13,FALSE)))</f>
        <v>16199463.518856101</v>
      </c>
      <c r="K46" s="105">
        <f t="shared" si="0"/>
        <v>-0.52313382172940703</v>
      </c>
      <c r="L46" s="115" t="str">
        <f t="shared" si="1"/>
        <v>MET</v>
      </c>
      <c r="M46" s="148">
        <f t="shared" si="2"/>
        <v>-785871.42102704942</v>
      </c>
      <c r="N46" s="115" t="str">
        <f t="shared" si="3"/>
        <v>MET</v>
      </c>
      <c r="O46" s="124">
        <f t="shared" si="4"/>
        <v>-0.58261394083226503</v>
      </c>
      <c r="P46" s="110"/>
      <c r="Q46" s="118">
        <f>IF($F$10=" &lt;&lt;&lt; Select Index &gt;&gt;&gt;","",IF(D46="","",IF(VLOOKUP($F$10&amp;$A46,PAB_CTB_Database!$B:$O,14,FALSE)=0,"",VLOOKUP($F$10&amp;$A46,PAB_CTB_Database!$B:$O,14,FALSE))))</f>
        <v>0.26187502299999998</v>
      </c>
      <c r="R46" s="119">
        <f t="shared" si="5"/>
        <v>0.73812497700000002</v>
      </c>
      <c r="S46" s="15"/>
    </row>
    <row r="47" spans="1:19" x14ac:dyDescent="0.3">
      <c r="A47" s="84">
        <v>20</v>
      </c>
      <c r="B47" s="46"/>
      <c r="C47" s="88">
        <f>IF($F$10=" &lt;&lt;&lt; Select Index &gt;&gt;&gt;","",VLOOKUP(_xlfn.CONCAT($F$10,A47),PAB_CTB_Database!B:H,7,FALSE))</f>
        <v>45260</v>
      </c>
      <c r="D47" s="404">
        <f>IF($F$10=" &lt;&lt;&lt; Select Index &gt;&gt;&gt;","",IF(VLOOKUP($F$10&amp;$A47,PAB_CTB_Database!$B:$I,8,FALSE)=0,"",VLOOKUP($F$10&amp;$A47,PAB_CTB_Database!$B:$I,8,FALSE)))</f>
        <v>34413163.203239098</v>
      </c>
      <c r="E47" s="405"/>
      <c r="F47" s="142">
        <f>IF($F$10=" &lt;&lt;&lt; Select Index &gt;&gt;&gt;","",IF(VLOOKUP($F$10&amp;$A47,PAB_CTB_Database!$B:$J,9,FALSE)=0,"",VLOOKUP($F$10&amp;$A47,PAB_CTB_Database!$B:$J,9,FALSE)))</f>
        <v>17206581.601619549</v>
      </c>
      <c r="G47" s="142">
        <f>IF($F$10=" &lt;&lt;&lt; Select Index &gt;&gt;&gt;","",IF(VLOOKUP($F$10&amp;$A47,PAB_CTB_Database!$B:$K,10,FALSE)=0,"",VLOOKUP($F$10&amp;$A47,PAB_CTB_Database!$B:$K,10,FALSE)))</f>
        <v>17195083.060866736</v>
      </c>
      <c r="H47" s="143">
        <f>IF($F$10=" &lt;&lt;&lt; Select Index &gt;&gt;&gt;","",IF(F47="","",IF(VLOOKUP($F$10&amp;$A47,PAB_CTB_Database!$B:$L,11,FALSE)=0,"",VLOOKUP($F$10&amp;$A47,PAB_CTB_Database!$B:$L,11,FALSE))))</f>
        <v>17195083.060866736</v>
      </c>
      <c r="I47" s="144">
        <f>IF($F$10=" &lt;&lt;&lt; Select Index &gt;&gt;&gt;","",IF(F47="","",IF(VLOOKUP($F$10&amp;$A47,PAB_CTB_Database!$B:$M,12,FALSE)=0,"",VLOOKUP($F$10&amp;$A47,PAB_CTB_Database!$B:$M,12,FALSE))))</f>
        <v>16765205.984345067</v>
      </c>
      <c r="J47" s="145">
        <f>IF($F$10=" &lt;&lt;&lt; Select Index &gt;&gt;&gt;","",IF(VLOOKUP($F$10&amp;$A47,PAB_CTB_Database!$B:$N,13,FALSE)=0,"",VLOOKUP($F$10&amp;$A47,PAB_CTB_Database!$B:$N,13,FALSE)))</f>
        <v>16101791.962794799</v>
      </c>
      <c r="K47" s="105">
        <f t="shared" si="0"/>
        <v>-0.53210369335419783</v>
      </c>
      <c r="L47" s="115" t="str">
        <f t="shared" si="1"/>
        <v>MET</v>
      </c>
      <c r="M47" s="148">
        <f t="shared" si="2"/>
        <v>-1093291.0980719365</v>
      </c>
      <c r="N47" s="115" t="str">
        <f t="shared" si="3"/>
        <v>MET</v>
      </c>
      <c r="O47" s="124">
        <f t="shared" si="4"/>
        <v>-0.58513048996549744</v>
      </c>
      <c r="P47" s="110"/>
      <c r="Q47" s="118">
        <f>IF($F$10=" &lt;&lt;&lt; Select Index &gt;&gt;&gt;","",IF(D47="","",IF(VLOOKUP($F$10&amp;$A47,PAB_CTB_Database!$B:$O,14,FALSE)=0,"",VLOOKUP($F$10&amp;$A47,PAB_CTB_Database!$B:$O,14,FALSE))))</f>
        <v>0.26282973700000001</v>
      </c>
      <c r="R47" s="119">
        <f t="shared" si="5"/>
        <v>0.73717026299999999</v>
      </c>
      <c r="S47" s="15"/>
    </row>
    <row r="48" spans="1:19" x14ac:dyDescent="0.3">
      <c r="A48" s="84">
        <v>21</v>
      </c>
      <c r="B48" s="46"/>
      <c r="C48" s="88">
        <f>IF($F$10=" &lt;&lt;&lt; Select Index &gt;&gt;&gt;","",VLOOKUP(_xlfn.CONCAT($F$10,A48),PAB_CTB_Database!B:H,7,FALSE))</f>
        <v>45291</v>
      </c>
      <c r="D48" s="404">
        <f>IF($F$10=" &lt;&lt;&lt; Select Index &gt;&gt;&gt;","",IF(VLOOKUP($F$10&amp;$A48,PAB_CTB_Database!$B:$I,8,FALSE)=0,"",VLOOKUP($F$10&amp;$A48,PAB_CTB_Database!$B:$I,8,FALSE)))</f>
        <v>34137345.0898332</v>
      </c>
      <c r="E48" s="405"/>
      <c r="F48" s="142">
        <f>IF($F$10=" &lt;&lt;&lt; Select Index &gt;&gt;&gt;","",IF(VLOOKUP($F$10&amp;$A48,PAB_CTB_Database!$B:$J,9,FALSE)=0,"",VLOOKUP($F$10&amp;$A48,PAB_CTB_Database!$B:$J,9,FALSE)))</f>
        <v>17068672.5449166</v>
      </c>
      <c r="G48" s="142">
        <f>IF($F$10=" &lt;&lt;&lt; Select Index &gt;&gt;&gt;","",IF(VLOOKUP($F$10&amp;$A48,PAB_CTB_Database!$B:$K,10,FALSE)=0,"",VLOOKUP($F$10&amp;$A48,PAB_CTB_Database!$B:$K,10,FALSE)))</f>
        <v>17091408.607870132</v>
      </c>
      <c r="H48" s="143">
        <f>IF($F$10=" &lt;&lt;&lt; Select Index &gt;&gt;&gt;","",IF(F48="","",IF(VLOOKUP($F$10&amp;$A48,PAB_CTB_Database!$B:$L,11,FALSE)=0,"",VLOOKUP($F$10&amp;$A48,PAB_CTB_Database!$B:$L,11,FALSE))))</f>
        <v>17068672.5449166</v>
      </c>
      <c r="I48" s="144">
        <f>IF($F$10=" &lt;&lt;&lt; Select Index &gt;&gt;&gt;","",IF(F48="","",IF(VLOOKUP($F$10&amp;$A48,PAB_CTB_Database!$B:$M,12,FALSE)=0,"",VLOOKUP($F$10&amp;$A48,PAB_CTB_Database!$B:$M,12,FALSE))))</f>
        <v>16641955.731293684</v>
      </c>
      <c r="J48" s="145">
        <f>IF($F$10=" &lt;&lt;&lt; Select Index &gt;&gt;&gt;","",IF(VLOOKUP($F$10&amp;$A48,PAB_CTB_Database!$B:$N,13,FALSE)=0,"",VLOOKUP($F$10&amp;$A48,PAB_CTB_Database!$B:$N,13,FALSE)))</f>
        <v>16002964.2930847</v>
      </c>
      <c r="K48" s="105">
        <f t="shared" si="0"/>
        <v>-0.53121825229898412</v>
      </c>
      <c r="L48" s="115" t="str">
        <f t="shared" si="1"/>
        <v>MET</v>
      </c>
      <c r="M48" s="148">
        <f t="shared" si="2"/>
        <v>-1065708.2518319003</v>
      </c>
      <c r="N48" s="115" t="str">
        <f t="shared" si="3"/>
        <v>MET</v>
      </c>
      <c r="O48" s="124">
        <f t="shared" si="4"/>
        <v>-0.58767682685801337</v>
      </c>
      <c r="P48" s="110"/>
      <c r="Q48" s="118">
        <f>IF($F$10=" &lt;&lt;&lt; Select Index &gt;&gt;&gt;","",IF(D48="","",IF(VLOOKUP($F$10&amp;$A48,PAB_CTB_Database!$B:$O,14,FALSE)=0,"",VLOOKUP($F$10&amp;$A48,PAB_CTB_Database!$B:$O,14,FALSE))))</f>
        <v>0.26364655799999998</v>
      </c>
      <c r="R48" s="119">
        <f t="shared" si="5"/>
        <v>0.73635344199999997</v>
      </c>
      <c r="S48" s="15"/>
    </row>
    <row r="49" spans="1:22" x14ac:dyDescent="0.3">
      <c r="A49" s="84">
        <v>22</v>
      </c>
      <c r="B49" s="46"/>
      <c r="C49" s="88">
        <f>IF($F$10=" &lt;&lt;&lt; Select Index &gt;&gt;&gt;","",VLOOKUP(_xlfn.CONCAT($F$10,A49),PAB_CTB_Database!B:H,7,FALSE))</f>
        <v>45322</v>
      </c>
      <c r="D49" s="404">
        <f>IF($F$10=" &lt;&lt;&lt; Select Index &gt;&gt;&gt;","",IF(VLOOKUP($F$10&amp;$A49,PAB_CTB_Database!$B:$I,8,FALSE)=0,"",VLOOKUP($F$10&amp;$A49,PAB_CTB_Database!$B:$I,8,FALSE)))</f>
        <v>33522821</v>
      </c>
      <c r="E49" s="405"/>
      <c r="F49" s="142">
        <f>IF($F$10=" &lt;&lt;&lt; Select Index &gt;&gt;&gt;","",IF(VLOOKUP($F$10&amp;$A49,PAB_CTB_Database!$B:$J,9,FALSE)=0,"",VLOOKUP($F$10&amp;$A49,PAB_CTB_Database!$B:$J,9,FALSE)))</f>
        <v>16761410.5</v>
      </c>
      <c r="G49" s="142">
        <f>IF($F$10=" &lt;&lt;&lt; Select Index &gt;&gt;&gt;","",IF(VLOOKUP($F$10&amp;$A49,PAB_CTB_Database!$B:$K,10,FALSE)=0,"",VLOOKUP($F$10&amp;$A49,PAB_CTB_Database!$B:$K,10,FALSE)))</f>
        <v>16988359.24008923</v>
      </c>
      <c r="H49" s="143">
        <f>IF($F$10=" &lt;&lt;&lt; Select Index &gt;&gt;&gt;","",IF(F49="","",IF(VLOOKUP($F$10&amp;$A49,PAB_CTB_Database!$B:$L,11,FALSE)=0,"",VLOOKUP($F$10&amp;$A49,PAB_CTB_Database!$B:$L,11,FALSE))))</f>
        <v>16761410.5</v>
      </c>
      <c r="I49" s="144">
        <f>IF($F$10=" &lt;&lt;&lt; Select Index &gt;&gt;&gt;","",IF(F49="","",IF(VLOOKUP($F$10&amp;$A49,PAB_CTB_Database!$B:$M,12,FALSE)=0,"",VLOOKUP($F$10&amp;$A49,PAB_CTB_Database!$B:$M,12,FALSE))))</f>
        <v>16342375.237499999</v>
      </c>
      <c r="J49" s="145">
        <f>IF($F$10=" &lt;&lt;&lt; Select Index &gt;&gt;&gt;","",IF(VLOOKUP($F$10&amp;$A49,PAB_CTB_Database!$B:$N,13,FALSE)=0,"",VLOOKUP($F$10&amp;$A49,PAB_CTB_Database!$B:$N,13,FALSE)))</f>
        <v>15908212</v>
      </c>
      <c r="K49" s="105">
        <f t="shared" si="0"/>
        <v>-0.52545127392470936</v>
      </c>
      <c r="L49" s="115" t="str">
        <f t="shared" si="1"/>
        <v>MET</v>
      </c>
      <c r="M49" s="148">
        <f t="shared" si="2"/>
        <v>-853198.5</v>
      </c>
      <c r="N49" s="115" t="str">
        <f t="shared" si="3"/>
        <v>MET</v>
      </c>
      <c r="O49" s="124">
        <f t="shared" si="4"/>
        <v>-0.59011815994053762</v>
      </c>
      <c r="P49" s="110"/>
      <c r="Q49" s="118">
        <f>IF($F$10=" &lt;&lt;&lt; Select Index &gt;&gt;&gt;","",IF(D49="","",IF(VLOOKUP($F$10&amp;$A49,PAB_CTB_Database!$B:$O,14,FALSE)=0,"",VLOOKUP($F$10&amp;$A49,PAB_CTB_Database!$B:$O,14,FALSE))))</f>
        <v>0.26243298300000001</v>
      </c>
      <c r="R49" s="119">
        <f t="shared" si="5"/>
        <v>0.73756701699999994</v>
      </c>
      <c r="S49" s="15"/>
    </row>
    <row r="50" spans="1:22" x14ac:dyDescent="0.3">
      <c r="A50" s="84">
        <v>23</v>
      </c>
      <c r="B50" s="46"/>
      <c r="C50" s="88">
        <f>IF($F$10=" &lt;&lt;&lt; Select Index &gt;&gt;&gt;","",VLOOKUP(_xlfn.CONCAT($F$10,A50),PAB_CTB_Database!B:H,7,FALSE))</f>
        <v>45350</v>
      </c>
      <c r="D50" s="404">
        <f>IF($F$10=" &lt;&lt;&lt; Select Index &gt;&gt;&gt;","",IF(VLOOKUP($F$10&amp;$A50,PAB_CTB_Database!$B:$I,8,FALSE)=0,"",VLOOKUP($F$10&amp;$A50,PAB_CTB_Database!$B:$I,8,FALSE)))</f>
        <v>34006422</v>
      </c>
      <c r="E50" s="405"/>
      <c r="F50" s="142">
        <f>IF($F$10=" &lt;&lt;&lt; Select Index &gt;&gt;&gt;","",IF(VLOOKUP($F$10&amp;$A50,PAB_CTB_Database!$B:$J,9,FALSE)=0,"",VLOOKUP($F$10&amp;$A50,PAB_CTB_Database!$B:$J,9,FALSE)))</f>
        <v>17003211</v>
      </c>
      <c r="G50" s="142">
        <f>IF($F$10=" &lt;&lt;&lt; Select Index &gt;&gt;&gt;","",IF(VLOOKUP($F$10&amp;$A50,PAB_CTB_Database!$B:$K,10,FALSE)=0,"",VLOOKUP($F$10&amp;$A50,PAB_CTB_Database!$B:$K,10,FALSE)))</f>
        <v>16885931.188692696</v>
      </c>
      <c r="H50" s="143">
        <f>IF($F$10=" &lt;&lt;&lt; Select Index &gt;&gt;&gt;","",IF(F50="","",IF(VLOOKUP($F$10&amp;$A50,PAB_CTB_Database!$B:$L,11,FALSE)=0,"",VLOOKUP($F$10&amp;$A50,PAB_CTB_Database!$B:$L,11,FALSE))))</f>
        <v>16885931.188692696</v>
      </c>
      <c r="I50" s="144">
        <f>IF($F$10=" &lt;&lt;&lt; Select Index &gt;&gt;&gt;","",IF(F50="","",IF(VLOOKUP($F$10&amp;$A50,PAB_CTB_Database!$B:$M,12,FALSE)=0,"",VLOOKUP($F$10&amp;$A50,PAB_CTB_Database!$B:$M,12,FALSE))))</f>
        <v>16463782.908975378</v>
      </c>
      <c r="J50" s="145">
        <f>IF($F$10=" &lt;&lt;&lt; Select Index &gt;&gt;&gt;","",IF(VLOOKUP($F$10&amp;$A50,PAB_CTB_Database!$B:$N,13,FALSE)=0,"",VLOOKUP($F$10&amp;$A50,PAB_CTB_Database!$B:$N,13,FALSE)))</f>
        <v>15812296</v>
      </c>
      <c r="K50" s="105">
        <f t="shared" si="0"/>
        <v>-0.53502029704859866</v>
      </c>
      <c r="L50" s="115" t="str">
        <f t="shared" si="1"/>
        <v>MET</v>
      </c>
      <c r="M50" s="148">
        <f t="shared" si="2"/>
        <v>-1073635.1886926964</v>
      </c>
      <c r="N50" s="115" t="str">
        <f t="shared" si="3"/>
        <v>MET</v>
      </c>
      <c r="O50" s="124">
        <f t="shared" si="4"/>
        <v>-0.59258947642608262</v>
      </c>
      <c r="P50" s="110"/>
      <c r="Q50" s="118">
        <f>IF($F$10=" &lt;&lt;&lt; Select Index &gt;&gt;&gt;","",IF(D50="","",IF(VLOOKUP($F$10&amp;$A50,PAB_CTB_Database!$B:$O,14,FALSE)=0,"",VLOOKUP($F$10&amp;$A50,PAB_CTB_Database!$B:$O,14,FALSE))))</f>
        <v>0.26041977199999999</v>
      </c>
      <c r="R50" s="119">
        <f t="shared" si="5"/>
        <v>0.73958022800000001</v>
      </c>
      <c r="S50" s="15"/>
    </row>
    <row r="51" spans="1:22" x14ac:dyDescent="0.3">
      <c r="A51" s="84">
        <v>24</v>
      </c>
      <c r="B51" s="46"/>
      <c r="C51" s="88">
        <f>IF($F$10=" &lt;&lt;&lt; Select Index &gt;&gt;&gt;","",VLOOKUP(_xlfn.CONCAT($F$10,A51),PAB_CTB_Database!B:H,7,FALSE))</f>
        <v>45382</v>
      </c>
      <c r="D51" s="404">
        <f>IF($F$10=" &lt;&lt;&lt; Select Index &gt;&gt;&gt;","",IF(VLOOKUP($F$10&amp;$A51,PAB_CTB_Database!$B:$I,8,FALSE)=0,"",VLOOKUP($F$10&amp;$A51,PAB_CTB_Database!$B:$I,8,FALSE)))</f>
        <v>33461530</v>
      </c>
      <c r="E51" s="405"/>
      <c r="F51" s="142">
        <f>IF($F$10=" &lt;&lt;&lt; Select Index &gt;&gt;&gt;","",IF(VLOOKUP($F$10&amp;$A51,PAB_CTB_Database!$B:$J,9,FALSE)=0,"",VLOOKUP($F$10&amp;$A51,PAB_CTB_Database!$B:$J,9,FALSE)))</f>
        <v>16730765</v>
      </c>
      <c r="G51" s="142">
        <f>IF($F$10=" &lt;&lt;&lt; Select Index &gt;&gt;&gt;","",IF(VLOOKUP($F$10&amp;$A51,PAB_CTB_Database!$B:$K,10,FALSE)=0,"",VLOOKUP($F$10&amp;$A51,PAB_CTB_Database!$B:$K,10,FALSE)))</f>
        <v>16784120.707572646</v>
      </c>
      <c r="H51" s="143">
        <f>IF($F$10=" &lt;&lt;&lt; Select Index &gt;&gt;&gt;","",IF(F51="","",IF(VLOOKUP($F$10&amp;$A51,PAB_CTB_Database!$B:$L,11,FALSE)=0,"",VLOOKUP($F$10&amp;$A51,PAB_CTB_Database!$B:$L,11,FALSE))))</f>
        <v>16730765</v>
      </c>
      <c r="I51" s="144">
        <f>IF($F$10=" &lt;&lt;&lt; Select Index &gt;&gt;&gt;","",IF(F51="","",IF(VLOOKUP($F$10&amp;$A51,PAB_CTB_Database!$B:$M,12,FALSE)=0,"",VLOOKUP($F$10&amp;$A51,PAB_CTB_Database!$B:$M,12,FALSE))))</f>
        <v>16312495.875</v>
      </c>
      <c r="J51" s="145">
        <f>IF($F$10=" &lt;&lt;&lt; Select Index &gt;&gt;&gt;","",IF(VLOOKUP($F$10&amp;$A51,PAB_CTB_Database!$B:$N,13,FALSE)=0,"",VLOOKUP($F$10&amp;$A51,PAB_CTB_Database!$B:$N,13,FALSE)))</f>
        <v>15715246</v>
      </c>
      <c r="K51" s="105">
        <f t="shared" si="0"/>
        <v>-0.53034885135258314</v>
      </c>
      <c r="L51" s="115" t="str">
        <f t="shared" si="1"/>
        <v>MET</v>
      </c>
      <c r="M51" s="148">
        <f t="shared" si="2"/>
        <v>-1015519</v>
      </c>
      <c r="N51" s="115" t="str">
        <f t="shared" si="3"/>
        <v>MET</v>
      </c>
      <c r="O51" s="124">
        <f t="shared" si="4"/>
        <v>-0.59509001090335578</v>
      </c>
      <c r="P51" s="110"/>
      <c r="Q51" s="118">
        <f>IF($F$10=" &lt;&lt;&lt; Select Index &gt;&gt;&gt;","",IF(D51="","",IF(VLOOKUP($F$10&amp;$A51,PAB_CTB_Database!$B:$O,14,FALSE)=0,"",VLOOKUP($F$10&amp;$A51,PAB_CTB_Database!$B:$O,14,FALSE))))</f>
        <v>0.26077281899999999</v>
      </c>
      <c r="R51" s="119">
        <f t="shared" si="5"/>
        <v>0.73922718099999996</v>
      </c>
      <c r="S51" s="15"/>
    </row>
    <row r="52" spans="1:22" x14ac:dyDescent="0.3">
      <c r="A52" s="84">
        <v>25</v>
      </c>
      <c r="B52" s="46"/>
      <c r="C52" s="88">
        <f>IF($F$10=" &lt;&lt;&lt; Select Index &gt;&gt;&gt;","",VLOOKUP(_xlfn.CONCAT($F$10,A52),PAB_CTB_Database!B:H,7,FALSE))</f>
        <v>45412</v>
      </c>
      <c r="D52" s="404">
        <f>IF($F$10=" &lt;&lt;&lt; Select Index &gt;&gt;&gt;","",IF(VLOOKUP($F$10&amp;$A52,PAB_CTB_Database!$B:$I,8,FALSE)=0,"",VLOOKUP($F$10&amp;$A52,PAB_CTB_Database!$B:$I,8,FALSE)))</f>
        <v>32991211</v>
      </c>
      <c r="E52" s="405"/>
      <c r="F52" s="142">
        <f>IF($F$10=" &lt;&lt;&lt; Select Index &gt;&gt;&gt;","",IF(VLOOKUP($F$10&amp;$A52,PAB_CTB_Database!$B:$J,9,FALSE)=0,"",VLOOKUP($F$10&amp;$A52,PAB_CTB_Database!$B:$J,9,FALSE)))</f>
        <v>16495605.5</v>
      </c>
      <c r="G52" s="142">
        <f>IF($F$10=" &lt;&lt;&lt; Select Index &gt;&gt;&gt;","",IF(VLOOKUP($F$10&amp;$A52,PAB_CTB_Database!$B:$K,10,FALSE)=0,"",VLOOKUP($F$10&amp;$A52,PAB_CTB_Database!$B:$K,10,FALSE)))</f>
        <v>16682924.07320763</v>
      </c>
      <c r="H52" s="143">
        <f>IF($F$10=" &lt;&lt;&lt; Select Index &gt;&gt;&gt;","",IF(F52="","",IF(VLOOKUP($F$10&amp;$A52,PAB_CTB_Database!$B:$L,11,FALSE)=0,"",VLOOKUP($F$10&amp;$A52,PAB_CTB_Database!$B:$L,11,FALSE))))</f>
        <v>16495605.5</v>
      </c>
      <c r="I52" s="144">
        <f>IF($F$10=" &lt;&lt;&lt; Select Index &gt;&gt;&gt;","",IF(F52="","",IF(VLOOKUP($F$10&amp;$A52,PAB_CTB_Database!$B:$M,12,FALSE)=0,"",VLOOKUP($F$10&amp;$A52,PAB_CTB_Database!$B:$M,12,FALSE))))</f>
        <v>16083215.362499999</v>
      </c>
      <c r="J52" s="145">
        <f>IF($F$10=" &lt;&lt;&lt; Select Index &gt;&gt;&gt;","",IF(VLOOKUP($F$10&amp;$A52,PAB_CTB_Database!$B:$N,13,FALSE)=0,"",VLOOKUP($F$10&amp;$A52,PAB_CTB_Database!$B:$N,13,FALSE)))</f>
        <v>15622197</v>
      </c>
      <c r="K52" s="105">
        <f t="shared" si="0"/>
        <v>-0.52647397514447103</v>
      </c>
      <c r="L52" s="115" t="str">
        <f t="shared" si="1"/>
        <v>MET</v>
      </c>
      <c r="M52" s="148">
        <f t="shared" si="2"/>
        <v>-873408.5</v>
      </c>
      <c r="N52" s="115" t="str">
        <f t="shared" si="3"/>
        <v>MET</v>
      </c>
      <c r="O52" s="124">
        <f t="shared" si="4"/>
        <v>-0.59748745791598634</v>
      </c>
      <c r="P52" s="110"/>
      <c r="Q52" s="118">
        <f>IF($F$10=" &lt;&lt;&lt; Select Index &gt;&gt;&gt;","",IF(D52="","",IF(VLOOKUP($F$10&amp;$A52,PAB_CTB_Database!$B:$O,14,FALSE)=0,"",VLOOKUP($F$10&amp;$A52,PAB_CTB_Database!$B:$O,14,FALSE))))</f>
        <v>0.26081522299999998</v>
      </c>
      <c r="R52" s="119">
        <f t="shared" si="5"/>
        <v>0.73918477699999996</v>
      </c>
      <c r="S52" s="15"/>
    </row>
    <row r="53" spans="1:22" x14ac:dyDescent="0.3">
      <c r="A53" s="84">
        <v>26</v>
      </c>
      <c r="B53" s="46"/>
      <c r="C53" s="88">
        <f>IF($F$10=" &lt;&lt;&lt; Select Index &gt;&gt;&gt;","",VLOOKUP(_xlfn.CONCAT($F$10,A53),PAB_CTB_Database!B:H,7,FALSE))</f>
        <v>45443</v>
      </c>
      <c r="D53" s="404">
        <f>IF($F$10=" &lt;&lt;&lt; Select Index &gt;&gt;&gt;","",IF(VLOOKUP($F$10&amp;$A53,PAB_CTB_Database!$B:$I,8,FALSE)=0,"",VLOOKUP($F$10&amp;$A53,PAB_CTB_Database!$B:$I,8,FALSE)))</f>
        <v>36333355</v>
      </c>
      <c r="E53" s="405"/>
      <c r="F53" s="142">
        <f>IF($F$10=" &lt;&lt;&lt; Select Index &gt;&gt;&gt;","",IF(VLOOKUP($F$10&amp;$A53,PAB_CTB_Database!$B:$J,9,FALSE)=0,"",VLOOKUP($F$10&amp;$A53,PAB_CTB_Database!$B:$J,9,FALSE)))</f>
        <v>18166677.5</v>
      </c>
      <c r="G53" s="142">
        <f>IF($F$10=" &lt;&lt;&lt; Select Index &gt;&gt;&gt;","",IF(VLOOKUP($F$10&amp;$A53,PAB_CTB_Database!$B:$K,10,FALSE)=0,"",VLOOKUP($F$10&amp;$A53,PAB_CTB_Database!$B:$K,10,FALSE)))</f>
        <v>16582337.584526457</v>
      </c>
      <c r="H53" s="143">
        <f>IF($F$10=" &lt;&lt;&lt; Select Index &gt;&gt;&gt;","",IF(F53="","",IF(VLOOKUP($F$10&amp;$A53,PAB_CTB_Database!$B:$L,11,FALSE)=0,"",VLOOKUP($F$10&amp;$A53,PAB_CTB_Database!$B:$L,11,FALSE))))</f>
        <v>16582337.584526457</v>
      </c>
      <c r="I53" s="144">
        <f>IF($F$10=" &lt;&lt;&lt; Select Index &gt;&gt;&gt;","",IF(F53="","",IF(VLOOKUP($F$10&amp;$A53,PAB_CTB_Database!$B:$M,12,FALSE)=0,"",VLOOKUP($F$10&amp;$A53,PAB_CTB_Database!$B:$M,12,FALSE))))</f>
        <v>16167779.144913295</v>
      </c>
      <c r="J53" s="145">
        <f>IF($F$10=" &lt;&lt;&lt; Select Index &gt;&gt;&gt;","",IF(VLOOKUP($F$10&amp;$A53,PAB_CTB_Database!$B:$N,13,FALSE)=0,"",VLOOKUP($F$10&amp;$A53,PAB_CTB_Database!$B:$N,13,FALSE)))</f>
        <v>15526313</v>
      </c>
      <c r="K53" s="105">
        <f t="shared" si="0"/>
        <v>-0.57267053923316469</v>
      </c>
      <c r="L53" s="115" t="str">
        <f t="shared" si="1"/>
        <v>MET</v>
      </c>
      <c r="M53" s="148">
        <f t="shared" si="2"/>
        <v>-1056024.5845264569</v>
      </c>
      <c r="N53" s="115" t="str">
        <f t="shared" si="3"/>
        <v>MET</v>
      </c>
      <c r="O53" s="124">
        <f t="shared" si="4"/>
        <v>-0.59995794990793749</v>
      </c>
      <c r="P53" s="110"/>
      <c r="Q53" s="118">
        <f>IF($F$10=" &lt;&lt;&lt; Select Index &gt;&gt;&gt;","",IF(D53="","",IF(VLOOKUP($F$10&amp;$A53,PAB_CTB_Database!$B:$O,14,FALSE)=0,"",VLOOKUP($F$10&amp;$A53,PAB_CTB_Database!$B:$O,14,FALSE))))</f>
        <v>0.26285162899999998</v>
      </c>
      <c r="R53" s="119">
        <f t="shared" si="5"/>
        <v>0.73714837099999997</v>
      </c>
      <c r="S53" s="15"/>
    </row>
    <row r="54" spans="1:22" x14ac:dyDescent="0.3">
      <c r="A54" s="84">
        <v>27</v>
      </c>
      <c r="B54" s="46"/>
      <c r="C54" s="88">
        <f>IF($F$10=" &lt;&lt;&lt; Select Index &gt;&gt;&gt;","",VLOOKUP(_xlfn.CONCAT($F$10,A54),PAB_CTB_Database!B:H,7,FALSE))</f>
        <v>45473</v>
      </c>
      <c r="D54" s="404">
        <f>IF($F$10=" &lt;&lt;&lt; Select Index &gt;&gt;&gt;","",IF(VLOOKUP($F$10&amp;$A54,PAB_CTB_Database!$B:$I,8,FALSE)=0,"",VLOOKUP($F$10&amp;$A54,PAB_CTB_Database!$B:$I,8,FALSE)))</f>
        <v>34513885.113776401</v>
      </c>
      <c r="E54" s="405"/>
      <c r="F54" s="142">
        <f>IF($F$10=" &lt;&lt;&lt; Select Index &gt;&gt;&gt;","",IF(VLOOKUP($F$10&amp;$A54,PAB_CTB_Database!$B:$J,9,FALSE)=0,"",VLOOKUP($F$10&amp;$A54,PAB_CTB_Database!$B:$J,9,FALSE)))</f>
        <v>17256942.5568882</v>
      </c>
      <c r="G54" s="142">
        <f>IF($F$10=" &lt;&lt;&lt; Select Index &gt;&gt;&gt;","",IF(VLOOKUP($F$10&amp;$A54,PAB_CTB_Database!$B:$K,10,FALSE)=0,"",VLOOKUP($F$10&amp;$A54,PAB_CTB_Database!$B:$K,10,FALSE)))</f>
        <v>16482357.562772831</v>
      </c>
      <c r="H54" s="143">
        <f>IF($F$10=" &lt;&lt;&lt; Select Index &gt;&gt;&gt;","",IF(F54="","",IF(VLOOKUP($F$10&amp;$A54,PAB_CTB_Database!$B:$L,11,FALSE)=0,"",VLOOKUP($F$10&amp;$A54,PAB_CTB_Database!$B:$L,11,FALSE))))</f>
        <v>16482357.562772831</v>
      </c>
      <c r="I54" s="144">
        <f>IF($F$10=" &lt;&lt;&lt; Select Index &gt;&gt;&gt;","",IF(F54="","",IF(VLOOKUP($F$10&amp;$A54,PAB_CTB_Database!$B:$M,12,FALSE)=0,"",VLOOKUP($F$10&amp;$A54,PAB_CTB_Database!$B:$M,12,FALSE))))</f>
        <v>16070298.62370351</v>
      </c>
      <c r="J54" s="145">
        <f>IF($F$10=" &lt;&lt;&lt; Select Index &gt;&gt;&gt;","",IF(VLOOKUP($F$10&amp;$A54,PAB_CTB_Database!$B:$N,13,FALSE)=0,"",VLOOKUP($F$10&amp;$A54,PAB_CTB_Database!$B:$N,13,FALSE)))</f>
        <v>15434382.6216313</v>
      </c>
      <c r="K54" s="105">
        <f t="shared" si="0"/>
        <v>-0.55280657130452737</v>
      </c>
      <c r="L54" s="115" t="str">
        <f t="shared" si="1"/>
        <v>MET</v>
      </c>
      <c r="M54" s="148">
        <f t="shared" si="2"/>
        <v>-1047974.9411415309</v>
      </c>
      <c r="N54" s="115" t="str">
        <f t="shared" si="3"/>
        <v>MET</v>
      </c>
      <c r="O54" s="124">
        <f t="shared" si="4"/>
        <v>-0.60232657515904209</v>
      </c>
      <c r="P54" s="110"/>
      <c r="Q54" s="118">
        <f>IF($F$10=" &lt;&lt;&lt; Select Index &gt;&gt;&gt;","",IF(D54="","",IF(VLOOKUP($F$10&amp;$A54,PAB_CTB_Database!$B:$O,14,FALSE)=0,"",VLOOKUP($F$10&amp;$A54,PAB_CTB_Database!$B:$O,14,FALSE))))</f>
        <v>0.26180513300000002</v>
      </c>
      <c r="R54" s="119">
        <f t="shared" si="5"/>
        <v>0.73819486700000003</v>
      </c>
      <c r="S54" s="15"/>
      <c r="V54" s="70"/>
    </row>
    <row r="55" spans="1:22" x14ac:dyDescent="0.3">
      <c r="A55" s="84">
        <v>28</v>
      </c>
      <c r="B55" s="46"/>
      <c r="C55" s="88">
        <f>IF($F$10=" &lt;&lt;&lt; Select Index &gt;&gt;&gt;","",VLOOKUP(_xlfn.CONCAT($F$10,A55),PAB_CTB_Database!B:H,7,FALSE))</f>
        <v>45504</v>
      </c>
      <c r="D55" s="404">
        <f>IF($F$10=" &lt;&lt;&lt; Select Index &gt;&gt;&gt;","",IF(VLOOKUP($F$10&amp;$A55,PAB_CTB_Database!$B:$I,8,FALSE)=0,"",VLOOKUP($F$10&amp;$A55,PAB_CTB_Database!$B:$I,8,FALSE)))</f>
        <v>33433586</v>
      </c>
      <c r="E55" s="405"/>
      <c r="F55" s="142">
        <f>IF($F$10=" &lt;&lt;&lt; Select Index &gt;&gt;&gt;","",IF(VLOOKUP($F$10&amp;$A55,PAB_CTB_Database!$B:$J,9,FALSE)=0,"",VLOOKUP($F$10&amp;$A55,PAB_CTB_Database!$B:$J,9,FALSE)))</f>
        <v>16716793</v>
      </c>
      <c r="G55" s="142">
        <f>IF($F$10=" &lt;&lt;&lt; Select Index &gt;&gt;&gt;","",IF(VLOOKUP($F$10&amp;$A55,PAB_CTB_Database!$B:$K,10,FALSE)=0,"",VLOOKUP($F$10&amp;$A55,PAB_CTB_Database!$B:$K,10,FALSE)))</f>
        <v>16382980.351370817</v>
      </c>
      <c r="H55" s="143">
        <f>IF($F$10=" &lt;&lt;&lt; Select Index &gt;&gt;&gt;","",IF(F55="","",IF(VLOOKUP($F$10&amp;$A55,PAB_CTB_Database!$B:$L,11,FALSE)=0,"",VLOOKUP($F$10&amp;$A55,PAB_CTB_Database!$B:$L,11,FALSE))))</f>
        <v>16382980.351370817</v>
      </c>
      <c r="I55" s="144">
        <f>IF($F$10=" &lt;&lt;&lt; Select Index &gt;&gt;&gt;","",IF(F55="","",IF(VLOOKUP($F$10&amp;$A55,PAB_CTB_Database!$B:$M,12,FALSE)=0,"",VLOOKUP($F$10&amp;$A55,PAB_CTB_Database!$B:$M,12,FALSE))))</f>
        <v>15973405.842586547</v>
      </c>
      <c r="J55" s="145">
        <f>IF($F$10=" &lt;&lt;&lt; Select Index &gt;&gt;&gt;","",IF(VLOOKUP($F$10&amp;$A55,PAB_CTB_Database!$B:$N,13,FALSE)=0,"",VLOOKUP($F$10&amp;$A55,PAB_CTB_Database!$B:$N,13,FALSE)))</f>
        <v>15341324</v>
      </c>
      <c r="K55" s="105">
        <f t="shared" si="0"/>
        <v>-0.54114033714481002</v>
      </c>
      <c r="L55" s="115" t="str">
        <f t="shared" si="1"/>
        <v>MET</v>
      </c>
      <c r="M55" s="148">
        <f t="shared" si="2"/>
        <v>-1041656.3513708171</v>
      </c>
      <c r="N55" s="115" t="str">
        <f t="shared" si="3"/>
        <v>MET</v>
      </c>
      <c r="O55" s="124">
        <f t="shared" si="4"/>
        <v>-0.60472427007709029</v>
      </c>
      <c r="P55" s="110"/>
      <c r="Q55" s="118">
        <f>IF($F$10=" &lt;&lt;&lt; Select Index &gt;&gt;&gt;","",IF(D55="","",IF(VLOOKUP($F$10&amp;$A55,PAB_CTB_Database!$B:$O,14,FALSE)=0,"",VLOOKUP($F$10&amp;$A55,PAB_CTB_Database!$B:$O,14,FALSE))))</f>
        <v>0.26559383800000003</v>
      </c>
      <c r="R55" s="119">
        <f t="shared" si="5"/>
        <v>0.73440616199999997</v>
      </c>
      <c r="S55" s="15"/>
      <c r="V55" s="70"/>
    </row>
    <row r="56" spans="1:22" x14ac:dyDescent="0.3">
      <c r="A56" s="84">
        <v>29</v>
      </c>
      <c r="B56" s="46"/>
      <c r="C56" s="88">
        <f>IF($F$10=" &lt;&lt;&lt; Select Index &gt;&gt;&gt;","",VLOOKUP(_xlfn.CONCAT($F$10,A56),PAB_CTB_Database!B:H,7,FALSE))</f>
        <v>45535</v>
      </c>
      <c r="D56" s="404">
        <f>IF($F$10=" &lt;&lt;&lt; Select Index &gt;&gt;&gt;","",IF(VLOOKUP($F$10&amp;$A56,PAB_CTB_Database!$B:$I,8,FALSE)=0,"",VLOOKUP($F$10&amp;$A56,PAB_CTB_Database!$B:$I,8,FALSE)))</f>
        <v>33856537</v>
      </c>
      <c r="E56" s="405"/>
      <c r="F56" s="142">
        <f>IF($F$10=" &lt;&lt;&lt; Select Index &gt;&gt;&gt;","",IF(VLOOKUP($F$10&amp;$A56,PAB_CTB_Database!$B:$J,9,FALSE)=0,"",VLOOKUP($F$10&amp;$A56,PAB_CTB_Database!$B:$J,9,FALSE)))</f>
        <v>16928268.5</v>
      </c>
      <c r="G56" s="142">
        <f>IF($F$10=" &lt;&lt;&lt; Select Index &gt;&gt;&gt;","",IF(VLOOKUP($F$10&amp;$A56,PAB_CTB_Database!$B:$K,10,FALSE)=0,"",VLOOKUP($F$10&amp;$A56,PAB_CTB_Database!$B:$K,10,FALSE)))</f>
        <v>16284202.315791098</v>
      </c>
      <c r="H56" s="143">
        <f>IF($F$10=" &lt;&lt;&lt; Select Index &gt;&gt;&gt;","",IF(F56="","",IF(VLOOKUP($F$10&amp;$A56,PAB_CTB_Database!$B:$L,11,FALSE)=0,"",VLOOKUP($F$10&amp;$A56,PAB_CTB_Database!$B:$L,11,FALSE))))</f>
        <v>16284202.315791098</v>
      </c>
      <c r="I56" s="144">
        <f>IF($F$10=" &lt;&lt;&lt; Select Index &gt;&gt;&gt;","",IF(F56="","",IF(VLOOKUP($F$10&amp;$A56,PAB_CTB_Database!$B:$M,12,FALSE)=0,"",VLOOKUP($F$10&amp;$A56,PAB_CTB_Database!$B:$M,12,FALSE))))</f>
        <v>15877097.257896321</v>
      </c>
      <c r="J56" s="145">
        <f>IF($F$10=" &lt;&lt;&lt; Select Index &gt;&gt;&gt;","",IF(VLOOKUP($F$10&amp;$A56,PAB_CTB_Database!$B:$N,13,FALSE)=0,"",VLOOKUP($F$10&amp;$A56,PAB_CTB_Database!$B:$N,13,FALSE)))</f>
        <v>15248826</v>
      </c>
      <c r="K56" s="105">
        <f t="shared" si="0"/>
        <v>-0.54960467457141293</v>
      </c>
      <c r="L56" s="115" t="str">
        <f t="shared" si="1"/>
        <v>MET</v>
      </c>
      <c r="M56" s="148">
        <f t="shared" si="2"/>
        <v>-1035376.3157910984</v>
      </c>
      <c r="N56" s="115" t="str">
        <f t="shared" si="3"/>
        <v>MET</v>
      </c>
      <c r="O56" s="124">
        <f t="shared" si="4"/>
        <v>-0.60710752034065352</v>
      </c>
      <c r="P56" s="110"/>
      <c r="Q56" s="118">
        <f>IF($F$10=" &lt;&lt;&lt; Select Index &gt;&gt;&gt;","",IF(D56="","",IF(VLOOKUP($F$10&amp;$A56,PAB_CTB_Database!$B:$O,14,FALSE)=0,"",VLOOKUP($F$10&amp;$A56,PAB_CTB_Database!$B:$O,14,FALSE))))</f>
        <v>0.26543641800000001</v>
      </c>
      <c r="R56" s="119">
        <f t="shared" si="5"/>
        <v>0.73456358200000005</v>
      </c>
      <c r="S56" s="15"/>
      <c r="V56" s="70"/>
    </row>
    <row r="57" spans="1:22" x14ac:dyDescent="0.3">
      <c r="A57" s="84">
        <v>30</v>
      </c>
      <c r="B57" s="46"/>
      <c r="C57" s="88">
        <f>IF($F$10=" &lt;&lt;&lt; Select Index &gt;&gt;&gt;","",VLOOKUP(_xlfn.CONCAT($F$10,A57),PAB_CTB_Database!B:H,7,FALSE))</f>
        <v>45565</v>
      </c>
      <c r="D57" s="404">
        <f>IF($F$10=" &lt;&lt;&lt; Select Index &gt;&gt;&gt;","",IF(VLOOKUP($F$10&amp;$A57,PAB_CTB_Database!$B:$I,8,FALSE)=0,"",VLOOKUP($F$10&amp;$A57,PAB_CTB_Database!$B:$I,8,FALSE)))</f>
        <v>33305912</v>
      </c>
      <c r="E57" s="405"/>
      <c r="F57" s="142">
        <f>IF($F$10=" &lt;&lt;&lt; Select Index &gt;&gt;&gt;","",IF(VLOOKUP($F$10&amp;$A57,PAB_CTB_Database!$B:$J,9,FALSE)=0,"",VLOOKUP($F$10&amp;$A57,PAB_CTB_Database!$B:$J,9,FALSE)))</f>
        <v>16652956</v>
      </c>
      <c r="G57" s="142">
        <f>IF($F$10=" &lt;&lt;&lt; Select Index &gt;&gt;&gt;","",IF(VLOOKUP($F$10&amp;$A57,PAB_CTB_Database!$B:$K,10,FALSE)=0,"",VLOOKUP($F$10&amp;$A57,PAB_CTB_Database!$B:$K,10,FALSE)))</f>
        <v>16186019.843418058</v>
      </c>
      <c r="H57" s="143">
        <f>IF($F$10=" &lt;&lt;&lt; Select Index &gt;&gt;&gt;","",IF(F57="","",IF(VLOOKUP($F$10&amp;$A57,PAB_CTB_Database!$B:$L,11,FALSE)=0,"",VLOOKUP($F$10&amp;$A57,PAB_CTB_Database!$B:$L,11,FALSE))))</f>
        <v>16186019.843418058</v>
      </c>
      <c r="I57" s="144">
        <f>IF($F$10=" &lt;&lt;&lt; Select Index &gt;&gt;&gt;","",IF(F57="","",IF(VLOOKUP($F$10&amp;$A57,PAB_CTB_Database!$B:$M,12,FALSE)=0,"",VLOOKUP($F$10&amp;$A57,PAB_CTB_Database!$B:$M,12,FALSE))))</f>
        <v>15781369.347332606</v>
      </c>
      <c r="J57" s="145">
        <f>IF($F$10=" &lt;&lt;&lt; Select Index &gt;&gt;&gt;","",IF(VLOOKUP($F$10&amp;$A57,PAB_CTB_Database!$B:$N,13,FALSE)=0,"",VLOOKUP($F$10&amp;$A57,PAB_CTB_Database!$B:$N,13,FALSE)))</f>
        <v>15156887</v>
      </c>
      <c r="K57" s="105">
        <f t="shared" si="0"/>
        <v>-0.5449190221844098</v>
      </c>
      <c r="L57" s="115" t="str">
        <f t="shared" si="1"/>
        <v>MET</v>
      </c>
      <c r="M57" s="148">
        <f t="shared" si="2"/>
        <v>-1029132.843418058</v>
      </c>
      <c r="N57" s="115" t="str">
        <f t="shared" si="3"/>
        <v>MET</v>
      </c>
      <c r="O57" s="124">
        <f t="shared" si="4"/>
        <v>-0.60947636773175118</v>
      </c>
      <c r="P57" s="110"/>
      <c r="Q57" s="118">
        <f>IF($F$10=" &lt;&lt;&lt; Select Index &gt;&gt;&gt;","",IF(D57="","",IF(VLOOKUP($F$10&amp;$A57,PAB_CTB_Database!$B:$O,14,FALSE)=0,"",VLOOKUP($F$10&amp;$A57,PAB_CTB_Database!$B:$O,14,FALSE))))</f>
        <v>0.26231386800000001</v>
      </c>
      <c r="R57" s="119">
        <f t="shared" si="5"/>
        <v>0.73768613199999999</v>
      </c>
      <c r="S57" s="15"/>
      <c r="V57" s="70"/>
    </row>
    <row r="58" spans="1:22" x14ac:dyDescent="0.3">
      <c r="A58" s="84">
        <v>31</v>
      </c>
      <c r="B58" s="46"/>
      <c r="C58" s="88">
        <f>IF($F$10=" &lt;&lt;&lt; Select Index &gt;&gt;&gt;","",VLOOKUP(_xlfn.CONCAT($F$10,A58),PAB_CTB_Database!B:H,7,FALSE))</f>
        <v>45596</v>
      </c>
      <c r="D58" s="404">
        <f>IF($F$10=" &lt;&lt;&lt; Select Index &gt;&gt;&gt;","",IF(VLOOKUP($F$10&amp;$A58,PAB_CTB_Database!$B:$I,8,FALSE)=0,"",VLOOKUP($F$10&amp;$A58,PAB_CTB_Database!$B:$I,8,FALSE)))</f>
        <v>31015328.9363873</v>
      </c>
      <c r="E58" s="405"/>
      <c r="F58" s="142">
        <f>IF($F$10=" &lt;&lt;&lt; Select Index &gt;&gt;&gt;","",IF(VLOOKUP($F$10&amp;$A58,PAB_CTB_Database!$B:$J,9,FALSE)=0,"",VLOOKUP($F$10&amp;$A58,PAB_CTB_Database!$B:$J,9,FALSE)))</f>
        <v>15507664.46819365</v>
      </c>
      <c r="G58" s="142">
        <f>IF($F$10=" &lt;&lt;&lt; Select Index &gt;&gt;&gt;","",IF(VLOOKUP($F$10&amp;$A58,PAB_CTB_Database!$B:$K,10,FALSE)=0,"",VLOOKUP($F$10&amp;$A58,PAB_CTB_Database!$B:$K,10,FALSE)))</f>
        <v>16088429.343417646</v>
      </c>
      <c r="H58" s="143">
        <f>IF($F$10=" &lt;&lt;&lt; Select Index &gt;&gt;&gt;","",IF(F58="","",IF(VLOOKUP($F$10&amp;$A58,PAB_CTB_Database!$B:$L,11,FALSE)=0,"",VLOOKUP($F$10&amp;$A58,PAB_CTB_Database!$B:$L,11,FALSE))))</f>
        <v>15507664.46819365</v>
      </c>
      <c r="I58" s="144">
        <f>IF($F$10=" &lt;&lt;&lt; Select Index &gt;&gt;&gt;","",IF(F58="","",IF(VLOOKUP($F$10&amp;$A58,PAB_CTB_Database!$B:$M,12,FALSE)=0,"",VLOOKUP($F$10&amp;$A58,PAB_CTB_Database!$B:$M,12,FALSE))))</f>
        <v>15119972.856488809</v>
      </c>
      <c r="J58" s="145">
        <f>IF($F$10=" &lt;&lt;&lt; Select Index &gt;&gt;&gt;","",IF(VLOOKUP($F$10&amp;$A58,PAB_CTB_Database!$B:$N,13,FALSE)=0,"",VLOOKUP($F$10&amp;$A58,PAB_CTB_Database!$B:$N,13,FALSE)))</f>
        <v>14300461.3854986</v>
      </c>
      <c r="K58" s="105">
        <f t="shared" si="0"/>
        <v>-0.53892278831448259</v>
      </c>
      <c r="L58" s="115" t="str">
        <f t="shared" si="1"/>
        <v>MET</v>
      </c>
      <c r="M58" s="148">
        <f t="shared" si="2"/>
        <v>-1207203.0826950502</v>
      </c>
      <c r="N58" s="115" t="str">
        <f t="shared" si="3"/>
        <v>MET</v>
      </c>
      <c r="O58" s="124">
        <f t="shared" si="4"/>
        <v>-0.63154253750280331</v>
      </c>
      <c r="P58" s="110"/>
      <c r="Q58" s="118">
        <f>IF($F$10=" &lt;&lt;&lt; Select Index &gt;&gt;&gt;","",IF(D58="","",IF(VLOOKUP($F$10&amp;$A58,PAB_CTB_Database!$B:$O,14,FALSE)=0,"",VLOOKUP($F$10&amp;$A58,PAB_CTB_Database!$B:$O,14,FALSE))))</f>
        <v>0.26185877899999999</v>
      </c>
      <c r="R58" s="119">
        <f t="shared" si="5"/>
        <v>0.73814122100000001</v>
      </c>
      <c r="S58" s="15"/>
      <c r="V58" s="70"/>
    </row>
    <row r="59" spans="1:22" x14ac:dyDescent="0.3">
      <c r="A59" s="84">
        <v>32</v>
      </c>
      <c r="B59" s="46"/>
      <c r="C59" s="88">
        <f>IF($F$10=" &lt;&lt;&lt; Select Index &gt;&gt;&gt;","",VLOOKUP(_xlfn.CONCAT($F$10,A59),PAB_CTB_Database!B:H,7,FALSE))</f>
        <v>45626</v>
      </c>
      <c r="D59" s="404">
        <f>IF($F$10=" &lt;&lt;&lt; Select Index &gt;&gt;&gt;","",IF(VLOOKUP($F$10&amp;$A59,PAB_CTB_Database!$B:$I,8,FALSE)=0,"",VLOOKUP($F$10&amp;$A59,PAB_CTB_Database!$B:$I,8,FALSE)))</f>
        <v>32294797</v>
      </c>
      <c r="E59" s="405"/>
      <c r="F59" s="142">
        <f>IF($F$10=" &lt;&lt;&lt; Select Index &gt;&gt;&gt;","",IF(VLOOKUP($F$10&amp;$A59,PAB_CTB_Database!$B:$J,9,FALSE)=0,"",VLOOKUP($F$10&amp;$A59,PAB_CTB_Database!$B:$J,9,FALSE)))</f>
        <v>16147398.5</v>
      </c>
      <c r="G59" s="142">
        <f>IF($F$10=" &lt;&lt;&lt; Select Index &gt;&gt;&gt;","",IF(VLOOKUP($F$10&amp;$A59,PAB_CTB_Database!$B:$K,10,FALSE)=0,"",VLOOKUP($F$10&amp;$A59,PAB_CTB_Database!$B:$K,10,FALSE)))</f>
        <v>15991427.246606067</v>
      </c>
      <c r="H59" s="143">
        <f>IF($F$10=" &lt;&lt;&lt; Select Index &gt;&gt;&gt;","",IF(F59="","",IF(VLOOKUP($F$10&amp;$A59,PAB_CTB_Database!$B:$L,11,FALSE)=0,"",VLOOKUP($F$10&amp;$A59,PAB_CTB_Database!$B:$L,11,FALSE))))</f>
        <v>15991427.246606067</v>
      </c>
      <c r="I59" s="144">
        <f>IF($F$10=" &lt;&lt;&lt; Select Index &gt;&gt;&gt;","",IF(F59="","",IF(VLOOKUP($F$10&amp;$A59,PAB_CTB_Database!$B:$M,12,FALSE)=0,"",VLOOKUP($F$10&amp;$A59,PAB_CTB_Database!$B:$M,12,FALSE))))</f>
        <v>15591641.565440916</v>
      </c>
      <c r="J59" s="145">
        <f>IF($F$10=" &lt;&lt;&lt; Select Index &gt;&gt;&gt;","",IF(VLOOKUP($F$10&amp;$A59,PAB_CTB_Database!$B:$N,13,FALSE)=0,"",VLOOKUP($F$10&amp;$A59,PAB_CTB_Database!$B:$N,13,FALSE)))</f>
        <v>13068879</v>
      </c>
      <c r="K59" s="105">
        <f t="shared" si="0"/>
        <v>-0.5953255566213963</v>
      </c>
      <c r="L59" s="115" t="str">
        <f t="shared" si="1"/>
        <v>MET</v>
      </c>
      <c r="M59" s="148">
        <f t="shared" si="2"/>
        <v>-2922548.2466060668</v>
      </c>
      <c r="N59" s="115" t="str">
        <f t="shared" si="3"/>
        <v>MET</v>
      </c>
      <c r="O59" s="124">
        <f t="shared" si="4"/>
        <v>-0.66327478084686919</v>
      </c>
      <c r="P59" s="110"/>
      <c r="Q59" s="118">
        <f>IF($F$10=" &lt;&lt;&lt; Select Index &gt;&gt;&gt;","",IF(D59="","",IF(VLOOKUP($F$10&amp;$A59,PAB_CTB_Database!$B:$O,14,FALSE)=0,"",VLOOKUP($F$10&amp;$A59,PAB_CTB_Database!$B:$O,14,FALSE))))</f>
        <v>0.26248674500000002</v>
      </c>
      <c r="R59" s="119">
        <f t="shared" si="5"/>
        <v>0.73751325499999998</v>
      </c>
      <c r="S59" s="15"/>
      <c r="V59" s="70"/>
    </row>
    <row r="60" spans="1:22" x14ac:dyDescent="0.3">
      <c r="A60" s="84">
        <v>33</v>
      </c>
      <c r="B60" s="46"/>
      <c r="C60" s="88">
        <f>IF($F$10=" &lt;&lt;&lt; Select Index &gt;&gt;&gt;","",VLOOKUP(_xlfn.CONCAT($F$10,A60),PAB_CTB_Database!B:H,7,FALSE))</f>
        <v>45657</v>
      </c>
      <c r="D60" s="404" t="str">
        <f>IF($F$10=" &lt;&lt;&lt; Select Index &gt;&gt;&gt;","",IF(VLOOKUP($F$10&amp;$A60,PAB_CTB_Database!$B:$I,8,FALSE)=0,"",VLOOKUP($F$10&amp;$A60,PAB_CTB_Database!$B:$I,8,FALSE)))</f>
        <v/>
      </c>
      <c r="E60" s="405"/>
      <c r="F60" s="142" t="str">
        <f>IF($F$10=" &lt;&lt;&lt; Select Index &gt;&gt;&gt;","",IF(VLOOKUP($F$10&amp;$A60,PAB_CTB_Database!$B:$J,9,FALSE)=0,"",VLOOKUP($F$10&amp;$A60,PAB_CTB_Database!$B:$J,9,FALSE)))</f>
        <v/>
      </c>
      <c r="G60" s="142">
        <f>IF($F$10=" &lt;&lt;&lt; Select Index &gt;&gt;&gt;","",IF(VLOOKUP($F$10&amp;$A60,PAB_CTB_Database!$B:$K,10,FALSE)=0,"",VLOOKUP($F$10&amp;$A60,PAB_CTB_Database!$B:$K,10,FALSE)))</f>
        <v>15895010.005319221</v>
      </c>
      <c r="H60" s="143" t="str">
        <f>IF($F$10=" &lt;&lt;&lt; Select Index &gt;&gt;&gt;","",IF(F60="","",IF(VLOOKUP($F$10&amp;$A60,PAB_CTB_Database!$B:$L,11,FALSE)=0,"",VLOOKUP($F$10&amp;$A60,PAB_CTB_Database!$B:$L,11,FALSE))))</f>
        <v/>
      </c>
      <c r="I60" s="144" t="str">
        <f>IF($F$10=" &lt;&lt;&lt; Select Index &gt;&gt;&gt;","",IF(F60="","",IF(VLOOKUP($F$10&amp;$A60,PAB_CTB_Database!$B:$M,12,FALSE)=0,"",VLOOKUP($F$10&amp;$A60,PAB_CTB_Database!$B:$M,12,FALSE))))</f>
        <v/>
      </c>
      <c r="J60" s="145" t="str">
        <f>IF($F$10=" &lt;&lt;&lt; Select Index &gt;&gt;&gt;","",IF(VLOOKUP($F$10&amp;$A60,PAB_CTB_Database!$B:$N,13,FALSE)=0,"",VLOOKUP($F$10&amp;$A60,PAB_CTB_Database!$B:$N,13,FALSE)))</f>
        <v/>
      </c>
      <c r="K60" s="105" t="str">
        <f t="shared" si="0"/>
        <v/>
      </c>
      <c r="L60" s="115" t="str">
        <f t="shared" si="1"/>
        <v/>
      </c>
      <c r="M60" s="148" t="str">
        <f t="shared" si="2"/>
        <v/>
      </c>
      <c r="N60" s="115" t="str">
        <f t="shared" si="3"/>
        <v/>
      </c>
      <c r="O60" s="124" t="str">
        <f t="shared" si="4"/>
        <v/>
      </c>
      <c r="P60" s="110"/>
      <c r="Q60" s="118" t="str">
        <f>IF($F$10=" &lt;&lt;&lt; Select Index &gt;&gt;&gt;","",IF(D60="","",IF(VLOOKUP($F$10&amp;$A60,PAB_CTB_Database!$B:$O,14,FALSE)=0,"",VLOOKUP($F$10&amp;$A60,PAB_CTB_Database!$B:$O,14,FALSE))))</f>
        <v/>
      </c>
      <c r="R60" s="119" t="str">
        <f t="shared" si="5"/>
        <v/>
      </c>
      <c r="S60" s="15"/>
      <c r="V60" s="70"/>
    </row>
    <row r="61" spans="1:22" x14ac:dyDescent="0.3">
      <c r="A61" s="84">
        <v>34</v>
      </c>
      <c r="B61" s="46"/>
      <c r="C61" s="88">
        <f>IF($F$10=" &lt;&lt;&lt; Select Index &gt;&gt;&gt;","",VLOOKUP(_xlfn.CONCAT($F$10,A61),PAB_CTB_Database!B:H,7,FALSE))</f>
        <v>45688</v>
      </c>
      <c r="D61" s="404" t="str">
        <f>IF($F$10=" &lt;&lt;&lt; Select Index &gt;&gt;&gt;","",IF(VLOOKUP($F$10&amp;$A61,PAB_CTB_Database!$B:$I,8,FALSE)=0,"",VLOOKUP($F$10&amp;$A61,PAB_CTB_Database!$B:$I,8,FALSE)))</f>
        <v/>
      </c>
      <c r="E61" s="405"/>
      <c r="F61" s="142" t="str">
        <f>IF($F$10=" &lt;&lt;&lt; Select Index &gt;&gt;&gt;","",IF(VLOOKUP($F$10&amp;$A61,PAB_CTB_Database!$B:$J,9,FALSE)=0,"",VLOOKUP($F$10&amp;$A61,PAB_CTB_Database!$B:$J,9,FALSE)))</f>
        <v/>
      </c>
      <c r="G61" s="142">
        <f>IF($F$10=" &lt;&lt;&lt; Select Index &gt;&gt;&gt;","",IF(VLOOKUP($F$10&amp;$A61,PAB_CTB_Database!$B:$K,10,FALSE)=0,"",VLOOKUP($F$10&amp;$A61,PAB_CTB_Database!$B:$K,10,FALSE)))</f>
        <v>15799174.093282983</v>
      </c>
      <c r="H61" s="143" t="str">
        <f>IF($F$10=" &lt;&lt;&lt; Select Index &gt;&gt;&gt;","",IF(F61="","",IF(VLOOKUP($F$10&amp;$A61,PAB_CTB_Database!$B:$L,11,FALSE)=0,"",VLOOKUP($F$10&amp;$A61,PAB_CTB_Database!$B:$L,11,FALSE))))</f>
        <v/>
      </c>
      <c r="I61" s="144" t="str">
        <f>IF($F$10=" &lt;&lt;&lt; Select Index &gt;&gt;&gt;","",IF(F61="","",IF(VLOOKUP($F$10&amp;$A61,PAB_CTB_Database!$B:$M,12,FALSE)=0,"",VLOOKUP($F$10&amp;$A61,PAB_CTB_Database!$B:$M,12,FALSE))))</f>
        <v/>
      </c>
      <c r="J61" s="145" t="str">
        <f>IF($F$10=" &lt;&lt;&lt; Select Index &gt;&gt;&gt;","",IF(VLOOKUP($F$10&amp;$A61,PAB_CTB_Database!$B:$N,13,FALSE)=0,"",VLOOKUP($F$10&amp;$A61,PAB_CTB_Database!$B:$N,13,FALSE)))</f>
        <v/>
      </c>
      <c r="K61" s="105" t="str">
        <f t="shared" si="0"/>
        <v/>
      </c>
      <c r="L61" s="115" t="str">
        <f t="shared" si="1"/>
        <v/>
      </c>
      <c r="M61" s="148" t="str">
        <f t="shared" si="2"/>
        <v/>
      </c>
      <c r="N61" s="115" t="str">
        <f t="shared" si="3"/>
        <v/>
      </c>
      <c r="O61" s="124" t="str">
        <f t="shared" si="4"/>
        <v/>
      </c>
      <c r="P61" s="110"/>
      <c r="Q61" s="118" t="str">
        <f>IF($F$10=" &lt;&lt;&lt; Select Index &gt;&gt;&gt;","",IF(D61="","",IF(VLOOKUP($F$10&amp;$A61,PAB_CTB_Database!$B:$O,14,FALSE)=0,"",VLOOKUP($F$10&amp;$A61,PAB_CTB_Database!$B:$O,14,FALSE))))</f>
        <v/>
      </c>
      <c r="R61" s="119" t="str">
        <f t="shared" si="5"/>
        <v/>
      </c>
      <c r="S61" s="15"/>
      <c r="V61" s="70"/>
    </row>
    <row r="62" spans="1:22" x14ac:dyDescent="0.3">
      <c r="A62" s="84">
        <v>35</v>
      </c>
      <c r="B62" s="46"/>
      <c r="C62" s="88">
        <f>IF($F$10=" &lt;&lt;&lt; Select Index &gt;&gt;&gt;","",VLOOKUP(_xlfn.CONCAT($F$10,A62),PAB_CTB_Database!B:H,7,FALSE))</f>
        <v>45716</v>
      </c>
      <c r="D62" s="404" t="str">
        <f>IF($F$10=" &lt;&lt;&lt; Select Index &gt;&gt;&gt;","",IF(VLOOKUP($F$10&amp;$A62,PAB_CTB_Database!$B:$I,8,FALSE)=0,"",VLOOKUP($F$10&amp;$A62,PAB_CTB_Database!$B:$I,8,FALSE)))</f>
        <v/>
      </c>
      <c r="E62" s="405"/>
      <c r="F62" s="142" t="str">
        <f>IF($F$10=" &lt;&lt;&lt; Select Index &gt;&gt;&gt;","",IF(VLOOKUP($F$10&amp;$A62,PAB_CTB_Database!$B:$J,9,FALSE)=0,"",VLOOKUP($F$10&amp;$A62,PAB_CTB_Database!$B:$J,9,FALSE)))</f>
        <v/>
      </c>
      <c r="G62" s="142">
        <f>IF($F$10=" &lt;&lt;&lt; Select Index &gt;&gt;&gt;","",IF(VLOOKUP($F$10&amp;$A62,PAB_CTB_Database!$B:$K,10,FALSE)=0,"",VLOOKUP($F$10&amp;$A62,PAB_CTB_Database!$B:$K,10,FALSE)))</f>
        <v>15703916.005484208</v>
      </c>
      <c r="H62" s="143" t="str">
        <f>IF($F$10=" &lt;&lt;&lt; Select Index &gt;&gt;&gt;","",IF(F62="","",IF(VLOOKUP($F$10&amp;$A62,PAB_CTB_Database!$B:$L,11,FALSE)=0,"",VLOOKUP($F$10&amp;$A62,PAB_CTB_Database!$B:$L,11,FALSE))))</f>
        <v/>
      </c>
      <c r="I62" s="144" t="str">
        <f>IF($F$10=" &lt;&lt;&lt; Select Index &gt;&gt;&gt;","",IF(F62="","",IF(VLOOKUP($F$10&amp;$A62,PAB_CTB_Database!$B:$M,12,FALSE)=0,"",VLOOKUP($F$10&amp;$A62,PAB_CTB_Database!$B:$M,12,FALSE))))</f>
        <v/>
      </c>
      <c r="J62" s="145" t="str">
        <f>IF($F$10=" &lt;&lt;&lt; Select Index &gt;&gt;&gt;","",IF(VLOOKUP($F$10&amp;$A62,PAB_CTB_Database!$B:$N,13,FALSE)=0,"",VLOOKUP($F$10&amp;$A62,PAB_CTB_Database!$B:$N,13,FALSE)))</f>
        <v/>
      </c>
      <c r="K62" s="105" t="str">
        <f t="shared" si="0"/>
        <v/>
      </c>
      <c r="L62" s="115" t="str">
        <f t="shared" si="1"/>
        <v/>
      </c>
      <c r="M62" s="148" t="str">
        <f t="shared" si="2"/>
        <v/>
      </c>
      <c r="N62" s="115" t="str">
        <f t="shared" si="3"/>
        <v/>
      </c>
      <c r="O62" s="124" t="str">
        <f t="shared" si="4"/>
        <v/>
      </c>
      <c r="P62" s="110"/>
      <c r="Q62" s="118" t="str">
        <f>IF($F$10=" &lt;&lt;&lt; Select Index &gt;&gt;&gt;","",IF(D62="","",IF(VLOOKUP($F$10&amp;$A62,PAB_CTB_Database!$B:$O,14,FALSE)=0,"",VLOOKUP($F$10&amp;$A62,PAB_CTB_Database!$B:$O,14,FALSE))))</f>
        <v/>
      </c>
      <c r="R62" s="119" t="str">
        <f t="shared" si="5"/>
        <v/>
      </c>
      <c r="S62" s="15"/>
      <c r="V62" s="70"/>
    </row>
    <row r="63" spans="1:22" x14ac:dyDescent="0.3">
      <c r="A63" s="84">
        <v>36</v>
      </c>
      <c r="B63" s="46"/>
      <c r="C63" s="88">
        <f>IF($F$10=" &lt;&lt;&lt; Select Index &gt;&gt;&gt;","",VLOOKUP(_xlfn.CONCAT($F$10,A63),PAB_CTB_Database!B:H,7,FALSE))</f>
        <v>45747</v>
      </c>
      <c r="D63" s="404" t="str">
        <f>IF($F$10=" &lt;&lt;&lt; Select Index &gt;&gt;&gt;","",IF(VLOOKUP($F$10&amp;$A63,PAB_CTB_Database!$B:$I,8,FALSE)=0,"",VLOOKUP($F$10&amp;$A63,PAB_CTB_Database!$B:$I,8,FALSE)))</f>
        <v/>
      </c>
      <c r="E63" s="405"/>
      <c r="F63" s="142" t="str">
        <f>IF($F$10=" &lt;&lt;&lt; Select Index &gt;&gt;&gt;","",IF(VLOOKUP($F$10&amp;$A63,PAB_CTB_Database!$B:$J,9,FALSE)=0,"",VLOOKUP($F$10&amp;$A63,PAB_CTB_Database!$B:$J,9,FALSE)))</f>
        <v/>
      </c>
      <c r="G63" s="142">
        <f>IF($F$10=" &lt;&lt;&lt; Select Index &gt;&gt;&gt;","",IF(VLOOKUP($F$10&amp;$A63,PAB_CTB_Database!$B:$K,10,FALSE)=0,"",VLOOKUP($F$10&amp;$A63,PAB_CTB_Database!$B:$K,10,FALSE)))</f>
        <v>15609232.258042561</v>
      </c>
      <c r="H63" s="143" t="str">
        <f>IF($F$10=" &lt;&lt;&lt; Select Index &gt;&gt;&gt;","",IF(F63="","",IF(VLOOKUP($F$10&amp;$A63,PAB_CTB_Database!$B:$L,11,FALSE)=0,"",VLOOKUP($F$10&amp;$A63,PAB_CTB_Database!$B:$L,11,FALSE))))</f>
        <v/>
      </c>
      <c r="I63" s="144" t="str">
        <f>IF($F$10=" &lt;&lt;&lt; Select Index &gt;&gt;&gt;","",IF(F63="","",IF(VLOOKUP($F$10&amp;$A63,PAB_CTB_Database!$B:$M,12,FALSE)=0,"",VLOOKUP($F$10&amp;$A63,PAB_CTB_Database!$B:$M,12,FALSE))))</f>
        <v/>
      </c>
      <c r="J63" s="145" t="str">
        <f>IF($F$10=" &lt;&lt;&lt; Select Index &gt;&gt;&gt;","",IF(VLOOKUP($F$10&amp;$A63,PAB_CTB_Database!$B:$N,13,FALSE)=0,"",VLOOKUP($F$10&amp;$A63,PAB_CTB_Database!$B:$N,13,FALSE)))</f>
        <v/>
      </c>
      <c r="K63" s="105" t="str">
        <f t="shared" si="0"/>
        <v/>
      </c>
      <c r="L63" s="115" t="str">
        <f t="shared" si="1"/>
        <v/>
      </c>
      <c r="M63" s="148" t="str">
        <f t="shared" si="2"/>
        <v/>
      </c>
      <c r="N63" s="115" t="str">
        <f t="shared" si="3"/>
        <v/>
      </c>
      <c r="O63" s="124" t="str">
        <f t="shared" si="4"/>
        <v/>
      </c>
      <c r="P63" s="110"/>
      <c r="Q63" s="118" t="str">
        <f>IF($F$10=" &lt;&lt;&lt; Select Index &gt;&gt;&gt;","",IF(D63="","",IF(VLOOKUP($F$10&amp;$A63,PAB_CTB_Database!$B:$O,14,FALSE)=0,"",VLOOKUP($F$10&amp;$A63,PAB_CTB_Database!$B:$O,14,FALSE))))</f>
        <v/>
      </c>
      <c r="R63" s="119" t="str">
        <f t="shared" si="5"/>
        <v/>
      </c>
      <c r="S63" s="15"/>
      <c r="V63" s="70"/>
    </row>
    <row r="64" spans="1:22" x14ac:dyDescent="0.3">
      <c r="A64" s="84">
        <v>37</v>
      </c>
      <c r="B64" s="46"/>
      <c r="C64" s="88">
        <f>IF($F$10=" &lt;&lt;&lt; Select Index &gt;&gt;&gt;","",VLOOKUP(_xlfn.CONCAT($F$10,A64),PAB_CTB_Database!B:H,7,FALSE))</f>
        <v>45777</v>
      </c>
      <c r="D64" s="404" t="str">
        <f>IF($F$10=" &lt;&lt;&lt; Select Index &gt;&gt;&gt;","",IF(VLOOKUP($F$10&amp;$A64,PAB_CTB_Database!$B:$I,8,FALSE)=0,"",VLOOKUP($F$10&amp;$A64,PAB_CTB_Database!$B:$I,8,FALSE)))</f>
        <v/>
      </c>
      <c r="E64" s="405"/>
      <c r="F64" s="142" t="str">
        <f>IF($F$10=" &lt;&lt;&lt; Select Index &gt;&gt;&gt;","",IF(VLOOKUP($F$10&amp;$A64,PAB_CTB_Database!$B:$J,9,FALSE)=0,"",VLOOKUP($F$10&amp;$A64,PAB_CTB_Database!$B:$J,9,FALSE)))</f>
        <v/>
      </c>
      <c r="G64" s="142">
        <f>IF($F$10=" &lt;&lt;&lt; Select Index &gt;&gt;&gt;","",IF(VLOOKUP($F$10&amp;$A64,PAB_CTB_Database!$B:$K,10,FALSE)=0,"",VLOOKUP($F$10&amp;$A64,PAB_CTB_Database!$B:$K,10,FALSE)))</f>
        <v>15515119.388083097</v>
      </c>
      <c r="H64" s="143" t="str">
        <f>IF($F$10=" &lt;&lt;&lt; Select Index &gt;&gt;&gt;","",IF(F64="","",IF(VLOOKUP($F$10&amp;$A64,PAB_CTB_Database!$B:$L,11,FALSE)=0,"",VLOOKUP($F$10&amp;$A64,PAB_CTB_Database!$B:$L,11,FALSE))))</f>
        <v/>
      </c>
      <c r="I64" s="144" t="str">
        <f>IF($F$10=" &lt;&lt;&lt; Select Index &gt;&gt;&gt;","",IF(F64="","",IF(VLOOKUP($F$10&amp;$A64,PAB_CTB_Database!$B:$M,12,FALSE)=0,"",VLOOKUP($F$10&amp;$A64,PAB_CTB_Database!$B:$M,12,FALSE))))</f>
        <v/>
      </c>
      <c r="J64" s="145" t="str">
        <f>IF($F$10=" &lt;&lt;&lt; Select Index &gt;&gt;&gt;","",IF(VLOOKUP($F$10&amp;$A64,PAB_CTB_Database!$B:$N,13,FALSE)=0,"",VLOOKUP($F$10&amp;$A64,PAB_CTB_Database!$B:$N,13,FALSE)))</f>
        <v/>
      </c>
      <c r="K64" s="105" t="str">
        <f t="shared" si="0"/>
        <v/>
      </c>
      <c r="L64" s="115" t="str">
        <f t="shared" si="1"/>
        <v/>
      </c>
      <c r="M64" s="148" t="str">
        <f t="shared" si="2"/>
        <v/>
      </c>
      <c r="N64" s="115" t="str">
        <f t="shared" si="3"/>
        <v/>
      </c>
      <c r="O64" s="124" t="str">
        <f t="shared" si="4"/>
        <v/>
      </c>
      <c r="P64" s="110"/>
      <c r="Q64" s="118" t="str">
        <f>IF($F$10=" &lt;&lt;&lt; Select Index &gt;&gt;&gt;","",IF(D64="","",IF(VLOOKUP($F$10&amp;$A64,PAB_CTB_Database!$B:$O,14,FALSE)=0,"",VLOOKUP($F$10&amp;$A64,PAB_CTB_Database!$B:$O,14,FALSE))))</f>
        <v/>
      </c>
      <c r="R64" s="119" t="str">
        <f t="shared" si="5"/>
        <v/>
      </c>
      <c r="S64" s="15"/>
      <c r="V64" s="70"/>
    </row>
    <row r="65" spans="1:22" x14ac:dyDescent="0.3">
      <c r="A65" s="84">
        <v>38</v>
      </c>
      <c r="B65" s="46"/>
      <c r="C65" s="88">
        <f>IF($F$10=" &lt;&lt;&lt; Select Index &gt;&gt;&gt;","",VLOOKUP(_xlfn.CONCAT($F$10,A65),PAB_CTB_Database!B:H,7,FALSE))</f>
        <v>45808</v>
      </c>
      <c r="D65" s="404" t="str">
        <f>IF($F$10=" &lt;&lt;&lt; Select Index &gt;&gt;&gt;","",IF(VLOOKUP($F$10&amp;$A65,PAB_CTB_Database!$B:$I,8,FALSE)=0,"",VLOOKUP($F$10&amp;$A65,PAB_CTB_Database!$B:$I,8,FALSE)))</f>
        <v/>
      </c>
      <c r="E65" s="405"/>
      <c r="F65" s="142" t="str">
        <f>IF($F$10=" &lt;&lt;&lt; Select Index &gt;&gt;&gt;","",IF(VLOOKUP($F$10&amp;$A65,PAB_CTB_Database!$B:$J,9,FALSE)=0,"",VLOOKUP($F$10&amp;$A65,PAB_CTB_Database!$B:$J,9,FALSE)))</f>
        <v/>
      </c>
      <c r="G65" s="142">
        <f>IF($F$10=" &lt;&lt;&lt; Select Index &gt;&gt;&gt;","",IF(VLOOKUP($F$10&amp;$A65,PAB_CTB_Database!$B:$K,10,FALSE)=0,"",VLOOKUP($F$10&amp;$A65,PAB_CTB_Database!$B:$K,10,FALSE)))</f>
        <v>15421573.953609606</v>
      </c>
      <c r="H65" s="143" t="str">
        <f>IF($F$10=" &lt;&lt;&lt; Select Index &gt;&gt;&gt;","",IF(F65="","",IF(VLOOKUP($F$10&amp;$A65,PAB_CTB_Database!$B:$L,11,FALSE)=0,"",VLOOKUP($F$10&amp;$A65,PAB_CTB_Database!$B:$L,11,FALSE))))</f>
        <v/>
      </c>
      <c r="I65" s="144" t="str">
        <f>IF($F$10=" &lt;&lt;&lt; Select Index &gt;&gt;&gt;","",IF(F65="","",IF(VLOOKUP($F$10&amp;$A65,PAB_CTB_Database!$B:$M,12,FALSE)=0,"",VLOOKUP($F$10&amp;$A65,PAB_CTB_Database!$B:$M,12,FALSE))))</f>
        <v/>
      </c>
      <c r="J65" s="145" t="str">
        <f>IF($F$10=" &lt;&lt;&lt; Select Index &gt;&gt;&gt;","",IF(VLOOKUP($F$10&amp;$A65,PAB_CTB_Database!$B:$N,13,FALSE)=0,"",VLOOKUP($F$10&amp;$A65,PAB_CTB_Database!$B:$N,13,FALSE)))</f>
        <v/>
      </c>
      <c r="K65" s="105" t="str">
        <f t="shared" si="0"/>
        <v/>
      </c>
      <c r="L65" s="115" t="str">
        <f t="shared" si="1"/>
        <v/>
      </c>
      <c r="M65" s="148" t="str">
        <f t="shared" si="2"/>
        <v/>
      </c>
      <c r="N65" s="115" t="str">
        <f t="shared" si="3"/>
        <v/>
      </c>
      <c r="O65" s="124" t="str">
        <f t="shared" si="4"/>
        <v/>
      </c>
      <c r="P65" s="110"/>
      <c r="Q65" s="118" t="str">
        <f>IF($F$10=" &lt;&lt;&lt; Select Index &gt;&gt;&gt;","",IF(D65="","",IF(VLOOKUP($F$10&amp;$A65,PAB_CTB_Database!$B:$O,14,FALSE)=0,"",VLOOKUP($F$10&amp;$A65,PAB_CTB_Database!$B:$O,14,FALSE))))</f>
        <v/>
      </c>
      <c r="R65" s="119" t="str">
        <f t="shared" si="5"/>
        <v/>
      </c>
      <c r="S65" s="15"/>
      <c r="V65" s="70"/>
    </row>
    <row r="66" spans="1:22" x14ac:dyDescent="0.3">
      <c r="A66" s="84">
        <v>39</v>
      </c>
      <c r="B66" s="46"/>
      <c r="C66" s="88">
        <f>IF($F$10=" &lt;&lt;&lt; Select Index &gt;&gt;&gt;","",VLOOKUP(_xlfn.CONCAT($F$10,A66),PAB_CTB_Database!B:H,7,FALSE))</f>
        <v>45838</v>
      </c>
      <c r="D66" s="404" t="str">
        <f>IF($F$10=" &lt;&lt;&lt; Select Index &gt;&gt;&gt;","",IF(VLOOKUP($F$10&amp;$A66,PAB_CTB_Database!$B:$I,8,FALSE)=0,"",VLOOKUP($F$10&amp;$A66,PAB_CTB_Database!$B:$I,8,FALSE)))</f>
        <v/>
      </c>
      <c r="E66" s="405"/>
      <c r="F66" s="142" t="str">
        <f>IF($F$10=" &lt;&lt;&lt; Select Index &gt;&gt;&gt;","",IF(VLOOKUP($F$10&amp;$A66,PAB_CTB_Database!$B:$J,9,FALSE)=0,"",VLOOKUP($F$10&amp;$A66,PAB_CTB_Database!$B:$J,9,FALSE)))</f>
        <v/>
      </c>
      <c r="G66" s="142">
        <f>IF($F$10=" &lt;&lt;&lt; Select Index &gt;&gt;&gt;","",IF(VLOOKUP($F$10&amp;$A66,PAB_CTB_Database!$B:$K,10,FALSE)=0,"",VLOOKUP($F$10&amp;$A66,PAB_CTB_Database!$B:$K,10,FALSE)))</f>
        <v>15328592.533378735</v>
      </c>
      <c r="H66" s="143" t="str">
        <f>IF($F$10=" &lt;&lt;&lt; Select Index &gt;&gt;&gt;","",IF(F66="","",IF(VLOOKUP($F$10&amp;$A66,PAB_CTB_Database!$B:$L,11,FALSE)=0,"",VLOOKUP($F$10&amp;$A66,PAB_CTB_Database!$B:$L,11,FALSE))))</f>
        <v/>
      </c>
      <c r="I66" s="144" t="str">
        <f>IF($F$10=" &lt;&lt;&lt; Select Index &gt;&gt;&gt;","",IF(F66="","",IF(VLOOKUP($F$10&amp;$A66,PAB_CTB_Database!$B:$M,12,FALSE)=0,"",VLOOKUP($F$10&amp;$A66,PAB_CTB_Database!$B:$M,12,FALSE))))</f>
        <v/>
      </c>
      <c r="J66" s="145" t="str">
        <f>IF($F$10=" &lt;&lt;&lt; Select Index &gt;&gt;&gt;","",IF(VLOOKUP($F$10&amp;$A66,PAB_CTB_Database!$B:$N,13,FALSE)=0,"",VLOOKUP($F$10&amp;$A66,PAB_CTB_Database!$B:$N,13,FALSE)))</f>
        <v/>
      </c>
      <c r="K66" s="105" t="str">
        <f t="shared" si="0"/>
        <v/>
      </c>
      <c r="L66" s="115" t="str">
        <f t="shared" si="1"/>
        <v/>
      </c>
      <c r="M66" s="148" t="str">
        <f t="shared" si="2"/>
        <v/>
      </c>
      <c r="N66" s="115" t="str">
        <f t="shared" si="3"/>
        <v/>
      </c>
      <c r="O66" s="124" t="str">
        <f t="shared" si="4"/>
        <v/>
      </c>
      <c r="P66" s="110"/>
      <c r="Q66" s="118" t="str">
        <f>IF($F$10=" &lt;&lt;&lt; Select Index &gt;&gt;&gt;","",IF(D66="","",IF(VLOOKUP($F$10&amp;$A66,PAB_CTB_Database!$B:$O,14,FALSE)=0,"",VLOOKUP($F$10&amp;$A66,PAB_CTB_Database!$B:$O,14,FALSE))))</f>
        <v/>
      </c>
      <c r="R66" s="119" t="str">
        <f t="shared" si="5"/>
        <v/>
      </c>
      <c r="S66" s="15"/>
      <c r="V66" s="70"/>
    </row>
    <row r="67" spans="1:22" x14ac:dyDescent="0.3">
      <c r="A67" s="84">
        <v>40</v>
      </c>
      <c r="B67" s="46"/>
      <c r="C67" s="88">
        <f>IF($F$10=" &lt;&lt;&lt; Select Index &gt;&gt;&gt;","",VLOOKUP(_xlfn.CONCAT($F$10,A67),PAB_CTB_Database!B:H,7,FALSE))</f>
        <v>45869</v>
      </c>
      <c r="D67" s="404" t="str">
        <f>IF($F$10=" &lt;&lt;&lt; Select Index &gt;&gt;&gt;","",IF(VLOOKUP($F$10&amp;$A67,PAB_CTB_Database!$B:$I,8,FALSE)=0,"",VLOOKUP($F$10&amp;$A67,PAB_CTB_Database!$B:$I,8,FALSE)))</f>
        <v/>
      </c>
      <c r="E67" s="405"/>
      <c r="F67" s="142" t="str">
        <f>IF($F$10=" &lt;&lt;&lt; Select Index &gt;&gt;&gt;","",IF(VLOOKUP($F$10&amp;$A67,PAB_CTB_Database!$B:$J,9,FALSE)=0,"",VLOOKUP($F$10&amp;$A67,PAB_CTB_Database!$B:$J,9,FALSE)))</f>
        <v/>
      </c>
      <c r="G67" s="142">
        <f>IF($F$10=" &lt;&lt;&lt; Select Index &gt;&gt;&gt;","",IF(VLOOKUP($F$10&amp;$A67,PAB_CTB_Database!$B:$K,10,FALSE)=0,"",VLOOKUP($F$10&amp;$A67,PAB_CTB_Database!$B:$K,10,FALSE)))</f>
        <v>15236171.726774862</v>
      </c>
      <c r="H67" s="143" t="str">
        <f>IF($F$10=" &lt;&lt;&lt; Select Index &gt;&gt;&gt;","",IF(F67="","",IF(VLOOKUP($F$10&amp;$A67,PAB_CTB_Database!$B:$L,11,FALSE)=0,"",VLOOKUP($F$10&amp;$A67,PAB_CTB_Database!$B:$L,11,FALSE))))</f>
        <v/>
      </c>
      <c r="I67" s="144" t="str">
        <f>IF($F$10=" &lt;&lt;&lt; Select Index &gt;&gt;&gt;","",IF(F67="","",IF(VLOOKUP($F$10&amp;$A67,PAB_CTB_Database!$B:$M,12,FALSE)=0,"",VLOOKUP($F$10&amp;$A67,PAB_CTB_Database!$B:$M,12,FALSE))))</f>
        <v/>
      </c>
      <c r="J67" s="145" t="str">
        <f>IF($F$10=" &lt;&lt;&lt; Select Index &gt;&gt;&gt;","",IF(VLOOKUP($F$10&amp;$A67,PAB_CTB_Database!$B:$N,13,FALSE)=0,"",VLOOKUP($F$10&amp;$A67,PAB_CTB_Database!$B:$N,13,FALSE)))</f>
        <v/>
      </c>
      <c r="K67" s="105" t="str">
        <f t="shared" si="0"/>
        <v/>
      </c>
      <c r="L67" s="115" t="str">
        <f t="shared" si="1"/>
        <v/>
      </c>
      <c r="M67" s="148" t="str">
        <f t="shared" si="2"/>
        <v/>
      </c>
      <c r="N67" s="115" t="str">
        <f t="shared" si="3"/>
        <v/>
      </c>
      <c r="O67" s="124" t="str">
        <f t="shared" si="4"/>
        <v/>
      </c>
      <c r="P67" s="110"/>
      <c r="Q67" s="118" t="str">
        <f>IF($F$10=" &lt;&lt;&lt; Select Index &gt;&gt;&gt;","",IF(D67="","",IF(VLOOKUP($F$10&amp;$A67,PAB_CTB_Database!$B:$O,14,FALSE)=0,"",VLOOKUP($F$10&amp;$A67,PAB_CTB_Database!$B:$O,14,FALSE))))</f>
        <v/>
      </c>
      <c r="R67" s="119" t="str">
        <f t="shared" si="5"/>
        <v/>
      </c>
      <c r="S67" s="15"/>
      <c r="V67" s="70"/>
    </row>
    <row r="68" spans="1:22" x14ac:dyDescent="0.3">
      <c r="A68" s="84">
        <v>41</v>
      </c>
      <c r="B68" s="46"/>
      <c r="C68" s="88">
        <f>IF($F$10=" &lt;&lt;&lt; Select Index &gt;&gt;&gt;","",VLOOKUP(_xlfn.CONCAT($F$10,A68),PAB_CTB_Database!B:H,7,FALSE))</f>
        <v>45900</v>
      </c>
      <c r="D68" s="404" t="str">
        <f>IF($F$10=" &lt;&lt;&lt; Select Index &gt;&gt;&gt;","",IF(VLOOKUP($F$10&amp;$A68,PAB_CTB_Database!$B:$I,8,FALSE)=0,"",VLOOKUP($F$10&amp;$A68,PAB_CTB_Database!$B:$I,8,FALSE)))</f>
        <v/>
      </c>
      <c r="E68" s="405"/>
      <c r="F68" s="142" t="str">
        <f>IF($F$10=" &lt;&lt;&lt; Select Index &gt;&gt;&gt;","",IF(VLOOKUP($F$10&amp;$A68,PAB_CTB_Database!$B:$J,9,FALSE)=0,"",VLOOKUP($F$10&amp;$A68,PAB_CTB_Database!$B:$J,9,FALSE)))</f>
        <v/>
      </c>
      <c r="G68" s="142">
        <f>IF($F$10=" &lt;&lt;&lt; Select Index &gt;&gt;&gt;","",IF(VLOOKUP($F$10&amp;$A68,PAB_CTB_Database!$B:$K,10,FALSE)=0,"",VLOOKUP($F$10&amp;$A68,PAB_CTB_Database!$B:$K,10,FALSE)))</f>
        <v>15144308.153685724</v>
      </c>
      <c r="H68" s="143" t="str">
        <f>IF($F$10=" &lt;&lt;&lt; Select Index &gt;&gt;&gt;","",IF(F68="","",IF(VLOOKUP($F$10&amp;$A68,PAB_CTB_Database!$B:$L,11,FALSE)=0,"",VLOOKUP($F$10&amp;$A68,PAB_CTB_Database!$B:$L,11,FALSE))))</f>
        <v/>
      </c>
      <c r="I68" s="144" t="str">
        <f>IF($F$10=" &lt;&lt;&lt; Select Index &gt;&gt;&gt;","",IF(F68="","",IF(VLOOKUP($F$10&amp;$A68,PAB_CTB_Database!$B:$M,12,FALSE)=0,"",VLOOKUP($F$10&amp;$A68,PAB_CTB_Database!$B:$M,12,FALSE))))</f>
        <v/>
      </c>
      <c r="J68" s="145" t="str">
        <f>IF($F$10=" &lt;&lt;&lt; Select Index &gt;&gt;&gt;","",IF(VLOOKUP($F$10&amp;$A68,PAB_CTB_Database!$B:$N,13,FALSE)=0,"",VLOOKUP($F$10&amp;$A68,PAB_CTB_Database!$B:$N,13,FALSE)))</f>
        <v/>
      </c>
      <c r="K68" s="105" t="str">
        <f t="shared" si="0"/>
        <v/>
      </c>
      <c r="L68" s="115" t="str">
        <f t="shared" si="1"/>
        <v/>
      </c>
      <c r="M68" s="148" t="str">
        <f t="shared" si="2"/>
        <v/>
      </c>
      <c r="N68" s="115" t="str">
        <f t="shared" si="3"/>
        <v/>
      </c>
      <c r="O68" s="124" t="str">
        <f t="shared" si="4"/>
        <v/>
      </c>
      <c r="P68" s="110"/>
      <c r="Q68" s="118" t="str">
        <f>IF($F$10=" &lt;&lt;&lt; Select Index &gt;&gt;&gt;","",IF(D68="","",IF(VLOOKUP($F$10&amp;$A68,PAB_CTB_Database!$B:$O,14,FALSE)=0,"",VLOOKUP($F$10&amp;$A68,PAB_CTB_Database!$B:$O,14,FALSE))))</f>
        <v/>
      </c>
      <c r="R68" s="119" t="str">
        <f t="shared" si="5"/>
        <v/>
      </c>
      <c r="S68" s="15"/>
      <c r="V68" s="70"/>
    </row>
    <row r="69" spans="1:22" x14ac:dyDescent="0.3">
      <c r="A69" s="84">
        <v>42</v>
      </c>
      <c r="B69" s="46"/>
      <c r="C69" s="88">
        <f>IF($F$10=" &lt;&lt;&lt; Select Index &gt;&gt;&gt;","",VLOOKUP(_xlfn.CONCAT($F$10,A69),PAB_CTB_Database!B:H,7,FALSE))</f>
        <v>45930</v>
      </c>
      <c r="D69" s="404" t="str">
        <f>IF($F$10=" &lt;&lt;&lt; Select Index &gt;&gt;&gt;","",IF(VLOOKUP($F$10&amp;$A69,PAB_CTB_Database!$B:$I,8,FALSE)=0,"",VLOOKUP($F$10&amp;$A69,PAB_CTB_Database!$B:$I,8,FALSE)))</f>
        <v/>
      </c>
      <c r="E69" s="405"/>
      <c r="F69" s="142" t="str">
        <f>IF($F$10=" &lt;&lt;&lt; Select Index &gt;&gt;&gt;","",IF(VLOOKUP($F$10&amp;$A69,PAB_CTB_Database!$B:$J,9,FALSE)=0,"",VLOOKUP($F$10&amp;$A69,PAB_CTB_Database!$B:$J,9,FALSE)))</f>
        <v/>
      </c>
      <c r="G69" s="142">
        <f>IF($F$10=" &lt;&lt;&lt; Select Index &gt;&gt;&gt;","",IF(VLOOKUP($F$10&amp;$A69,PAB_CTB_Database!$B:$K,10,FALSE)=0,"",VLOOKUP($F$10&amp;$A69,PAB_CTB_Database!$B:$K,10,FALSE)))</f>
        <v>15052998.454378793</v>
      </c>
      <c r="H69" s="143" t="str">
        <f>IF($F$10=" &lt;&lt;&lt; Select Index &gt;&gt;&gt;","",IF(F69="","",IF(VLOOKUP($F$10&amp;$A69,PAB_CTB_Database!$B:$L,11,FALSE)=0,"",VLOOKUP($F$10&amp;$A69,PAB_CTB_Database!$B:$L,11,FALSE))))</f>
        <v/>
      </c>
      <c r="I69" s="144" t="str">
        <f>IF($F$10=" &lt;&lt;&lt; Select Index &gt;&gt;&gt;","",IF(F69="","",IF(VLOOKUP($F$10&amp;$A69,PAB_CTB_Database!$B:$M,12,FALSE)=0,"",VLOOKUP($F$10&amp;$A69,PAB_CTB_Database!$B:$M,12,FALSE))))</f>
        <v/>
      </c>
      <c r="J69" s="145" t="str">
        <f>IF($F$10=" &lt;&lt;&lt; Select Index &gt;&gt;&gt;","",IF(VLOOKUP($F$10&amp;$A69,PAB_CTB_Database!$B:$N,13,FALSE)=0,"",VLOOKUP($F$10&amp;$A69,PAB_CTB_Database!$B:$N,13,FALSE)))</f>
        <v/>
      </c>
      <c r="K69" s="105" t="str">
        <f t="shared" si="0"/>
        <v/>
      </c>
      <c r="L69" s="115" t="str">
        <f t="shared" si="1"/>
        <v/>
      </c>
      <c r="M69" s="148" t="str">
        <f t="shared" si="2"/>
        <v/>
      </c>
      <c r="N69" s="115" t="str">
        <f t="shared" si="3"/>
        <v/>
      </c>
      <c r="O69" s="124" t="str">
        <f t="shared" si="4"/>
        <v/>
      </c>
      <c r="P69" s="110"/>
      <c r="Q69" s="118" t="str">
        <f>IF($F$10=" &lt;&lt;&lt; Select Index &gt;&gt;&gt;","",IF(D69="","",IF(VLOOKUP($F$10&amp;$A69,PAB_CTB_Database!$B:$O,14,FALSE)=0,"",VLOOKUP($F$10&amp;$A69,PAB_CTB_Database!$B:$O,14,FALSE))))</f>
        <v/>
      </c>
      <c r="R69" s="119" t="str">
        <f t="shared" si="5"/>
        <v/>
      </c>
      <c r="S69" s="15"/>
      <c r="V69" s="70"/>
    </row>
    <row r="70" spans="1:22" x14ac:dyDescent="0.3">
      <c r="A70" s="84">
        <v>43</v>
      </c>
      <c r="B70" s="46"/>
      <c r="C70" s="88">
        <f>IF($F$10=" &lt;&lt;&lt; Select Index &gt;&gt;&gt;","",VLOOKUP(_xlfn.CONCAT($F$10,A70),PAB_CTB_Database!B:H,7,FALSE))</f>
        <v>45961</v>
      </c>
      <c r="D70" s="404" t="str">
        <f>IF($F$10=" &lt;&lt;&lt; Select Index &gt;&gt;&gt;","",IF(VLOOKUP($F$10&amp;$A70,PAB_CTB_Database!$B:$I,8,FALSE)=0,"",VLOOKUP($F$10&amp;$A70,PAB_CTB_Database!$B:$I,8,FALSE)))</f>
        <v/>
      </c>
      <c r="E70" s="405"/>
      <c r="F70" s="142" t="str">
        <f>IF($F$10=" &lt;&lt;&lt; Select Index &gt;&gt;&gt;","",IF(VLOOKUP($F$10&amp;$A70,PAB_CTB_Database!$B:$J,9,FALSE)=0,"",VLOOKUP($F$10&amp;$A70,PAB_CTB_Database!$B:$J,9,FALSE)))</f>
        <v/>
      </c>
      <c r="G70" s="142">
        <f>IF($F$10=" &lt;&lt;&lt; Select Index &gt;&gt;&gt;","",IF(VLOOKUP($F$10&amp;$A70,PAB_CTB_Database!$B:$K,10,FALSE)=0,"",VLOOKUP($F$10&amp;$A70,PAB_CTB_Database!$B:$K,10,FALSE)))</f>
        <v>14962239.28937841</v>
      </c>
      <c r="H70" s="143" t="str">
        <f>IF($F$10=" &lt;&lt;&lt; Select Index &gt;&gt;&gt;","",IF(F70="","",IF(VLOOKUP($F$10&amp;$A70,PAB_CTB_Database!$B:$L,11,FALSE)=0,"",VLOOKUP($F$10&amp;$A70,PAB_CTB_Database!$B:$L,11,FALSE))))</f>
        <v/>
      </c>
      <c r="I70" s="144" t="str">
        <f>IF($F$10=" &lt;&lt;&lt; Select Index &gt;&gt;&gt;","",IF(F70="","",IF(VLOOKUP($F$10&amp;$A70,PAB_CTB_Database!$B:$M,12,FALSE)=0,"",VLOOKUP($F$10&amp;$A70,PAB_CTB_Database!$B:$M,12,FALSE))))</f>
        <v/>
      </c>
      <c r="J70" s="145" t="str">
        <f>IF($F$10=" &lt;&lt;&lt; Select Index &gt;&gt;&gt;","",IF(VLOOKUP($F$10&amp;$A70,PAB_CTB_Database!$B:$N,13,FALSE)=0,"",VLOOKUP($F$10&amp;$A70,PAB_CTB_Database!$B:$N,13,FALSE)))</f>
        <v/>
      </c>
      <c r="K70" s="105" t="str">
        <f t="shared" si="0"/>
        <v/>
      </c>
      <c r="L70" s="115" t="str">
        <f t="shared" si="1"/>
        <v/>
      </c>
      <c r="M70" s="148" t="str">
        <f t="shared" si="2"/>
        <v/>
      </c>
      <c r="N70" s="115" t="str">
        <f t="shared" si="3"/>
        <v/>
      </c>
      <c r="O70" s="124" t="str">
        <f t="shared" si="4"/>
        <v/>
      </c>
      <c r="P70" s="110"/>
      <c r="Q70" s="118" t="str">
        <f>IF($F$10=" &lt;&lt;&lt; Select Index &gt;&gt;&gt;","",IF(D70="","",IF(VLOOKUP($F$10&amp;$A70,PAB_CTB_Database!$B:$O,14,FALSE)=0,"",VLOOKUP($F$10&amp;$A70,PAB_CTB_Database!$B:$O,14,FALSE))))</f>
        <v/>
      </c>
      <c r="R70" s="119" t="str">
        <f t="shared" si="5"/>
        <v/>
      </c>
      <c r="S70" s="15"/>
      <c r="V70" s="70"/>
    </row>
    <row r="71" spans="1:22" x14ac:dyDescent="0.3">
      <c r="A71" s="84">
        <v>44</v>
      </c>
      <c r="B71" s="46"/>
      <c r="C71" s="88">
        <f>IF($F$10=" &lt;&lt;&lt; Select Index &gt;&gt;&gt;","",VLOOKUP(_xlfn.CONCAT($F$10,A71),PAB_CTB_Database!B:H,7,FALSE))</f>
        <v>45991</v>
      </c>
      <c r="D71" s="404" t="str">
        <f>IF($F$10=" &lt;&lt;&lt; Select Index &gt;&gt;&gt;","",IF(VLOOKUP($F$10&amp;$A71,PAB_CTB_Database!$B:$I,8,FALSE)=0,"",VLOOKUP($F$10&amp;$A71,PAB_CTB_Database!$B:$I,8,FALSE)))</f>
        <v/>
      </c>
      <c r="E71" s="405"/>
      <c r="F71" s="142" t="str">
        <f>IF($F$10=" &lt;&lt;&lt; Select Index &gt;&gt;&gt;","",IF(VLOOKUP($F$10&amp;$A71,PAB_CTB_Database!$B:$J,9,FALSE)=0,"",VLOOKUP($F$10&amp;$A71,PAB_CTB_Database!$B:$J,9,FALSE)))</f>
        <v/>
      </c>
      <c r="G71" s="142">
        <f>IF($F$10=" &lt;&lt;&lt; Select Index &gt;&gt;&gt;","",IF(VLOOKUP($F$10&amp;$A71,PAB_CTB_Database!$B:$K,10,FALSE)=0,"",VLOOKUP($F$10&amp;$A71,PAB_CTB_Database!$B:$K,10,FALSE)))</f>
        <v>14872027.339343643</v>
      </c>
      <c r="H71" s="143" t="str">
        <f>IF($F$10=" &lt;&lt;&lt; Select Index &gt;&gt;&gt;","",IF(F71="","",IF(VLOOKUP($F$10&amp;$A71,PAB_CTB_Database!$B:$L,11,FALSE)=0,"",VLOOKUP($F$10&amp;$A71,PAB_CTB_Database!$B:$L,11,FALSE))))</f>
        <v/>
      </c>
      <c r="I71" s="144" t="str">
        <f>IF($F$10=" &lt;&lt;&lt; Select Index &gt;&gt;&gt;","",IF(F71="","",IF(VLOOKUP($F$10&amp;$A71,PAB_CTB_Database!$B:$M,12,FALSE)=0,"",VLOOKUP($F$10&amp;$A71,PAB_CTB_Database!$B:$M,12,FALSE))))</f>
        <v/>
      </c>
      <c r="J71" s="145" t="str">
        <f>IF($F$10=" &lt;&lt;&lt; Select Index &gt;&gt;&gt;","",IF(VLOOKUP($F$10&amp;$A71,PAB_CTB_Database!$B:$N,13,FALSE)=0,"",VLOOKUP($F$10&amp;$A71,PAB_CTB_Database!$B:$N,13,FALSE)))</f>
        <v/>
      </c>
      <c r="K71" s="105" t="str">
        <f t="shared" si="0"/>
        <v/>
      </c>
      <c r="L71" s="115" t="str">
        <f t="shared" si="1"/>
        <v/>
      </c>
      <c r="M71" s="148" t="str">
        <f t="shared" si="2"/>
        <v/>
      </c>
      <c r="N71" s="115" t="str">
        <f t="shared" si="3"/>
        <v/>
      </c>
      <c r="O71" s="124" t="str">
        <f t="shared" si="4"/>
        <v/>
      </c>
      <c r="P71" s="110"/>
      <c r="Q71" s="118" t="str">
        <f>IF($F$10=" &lt;&lt;&lt; Select Index &gt;&gt;&gt;","",IF(D71="","",IF(VLOOKUP($F$10&amp;$A71,PAB_CTB_Database!$B:$O,14,FALSE)=0,"",VLOOKUP($F$10&amp;$A71,PAB_CTB_Database!$B:$O,14,FALSE))))</f>
        <v/>
      </c>
      <c r="R71" s="119" t="str">
        <f t="shared" si="5"/>
        <v/>
      </c>
      <c r="S71" s="15"/>
      <c r="V71" s="70"/>
    </row>
    <row r="72" spans="1:22" x14ac:dyDescent="0.3">
      <c r="A72" s="84">
        <v>45</v>
      </c>
      <c r="B72" s="46"/>
      <c r="C72" s="88">
        <f>IF($F$10=" &lt;&lt;&lt; Select Index &gt;&gt;&gt;","",VLOOKUP(_xlfn.CONCAT($F$10,A72),PAB_CTB_Database!B:H,7,FALSE))</f>
        <v>46022</v>
      </c>
      <c r="D72" s="404" t="str">
        <f>IF($F$10=" &lt;&lt;&lt; Select Index &gt;&gt;&gt;","",IF(VLOOKUP($F$10&amp;$A72,PAB_CTB_Database!$B:$I,8,FALSE)=0,"",VLOOKUP($F$10&amp;$A72,PAB_CTB_Database!$B:$I,8,FALSE)))</f>
        <v/>
      </c>
      <c r="E72" s="405"/>
      <c r="F72" s="142" t="str">
        <f>IF($F$10=" &lt;&lt;&lt; Select Index &gt;&gt;&gt;","",IF(VLOOKUP($F$10&amp;$A72,PAB_CTB_Database!$B:$J,9,FALSE)=0,"",VLOOKUP($F$10&amp;$A72,PAB_CTB_Database!$B:$J,9,FALSE)))</f>
        <v/>
      </c>
      <c r="G72" s="142">
        <f>IF($F$10=" &lt;&lt;&lt; Select Index &gt;&gt;&gt;","",IF(VLOOKUP($F$10&amp;$A72,PAB_CTB_Database!$B:$K,10,FALSE)=0,"",VLOOKUP($F$10&amp;$A72,PAB_CTB_Database!$B:$K,10,FALSE)))</f>
        <v>14782359.304946877</v>
      </c>
      <c r="H72" s="143" t="str">
        <f>IF($F$10=" &lt;&lt;&lt; Select Index &gt;&gt;&gt;","",IF(F72="","",IF(VLOOKUP($F$10&amp;$A72,PAB_CTB_Database!$B:$L,11,FALSE)=0,"",VLOOKUP($F$10&amp;$A72,PAB_CTB_Database!$B:$L,11,FALSE))))</f>
        <v/>
      </c>
      <c r="I72" s="144" t="str">
        <f>IF($F$10=" &lt;&lt;&lt; Select Index &gt;&gt;&gt;","",IF(F72="","",IF(VLOOKUP($F$10&amp;$A72,PAB_CTB_Database!$B:$M,12,FALSE)=0,"",VLOOKUP($F$10&amp;$A72,PAB_CTB_Database!$B:$M,12,FALSE))))</f>
        <v/>
      </c>
      <c r="J72" s="145" t="str">
        <f>IF($F$10=" &lt;&lt;&lt; Select Index &gt;&gt;&gt;","",IF(VLOOKUP($F$10&amp;$A72,PAB_CTB_Database!$B:$N,13,FALSE)=0,"",VLOOKUP($F$10&amp;$A72,PAB_CTB_Database!$B:$N,13,FALSE)))</f>
        <v/>
      </c>
      <c r="K72" s="105" t="str">
        <f t="shared" si="0"/>
        <v/>
      </c>
      <c r="L72" s="115" t="str">
        <f t="shared" si="1"/>
        <v/>
      </c>
      <c r="M72" s="148" t="str">
        <f t="shared" si="2"/>
        <v/>
      </c>
      <c r="N72" s="115" t="str">
        <f t="shared" si="3"/>
        <v/>
      </c>
      <c r="O72" s="124" t="str">
        <f t="shared" si="4"/>
        <v/>
      </c>
      <c r="P72" s="110"/>
      <c r="Q72" s="118" t="str">
        <f>IF($F$10=" &lt;&lt;&lt; Select Index &gt;&gt;&gt;","",IF(D72="","",IF(VLOOKUP($F$10&amp;$A72,PAB_CTB_Database!$B:$O,14,FALSE)=0,"",VLOOKUP($F$10&amp;$A72,PAB_CTB_Database!$B:$O,14,FALSE))))</f>
        <v/>
      </c>
      <c r="R72" s="119" t="str">
        <f t="shared" si="5"/>
        <v/>
      </c>
      <c r="S72" s="15"/>
      <c r="V72" s="70"/>
    </row>
    <row r="73" spans="1:22" x14ac:dyDescent="0.3">
      <c r="A73" s="84">
        <v>46</v>
      </c>
      <c r="B73" s="46"/>
      <c r="C73" s="88">
        <f>IF($F$10=" &lt;&lt;&lt; Select Index &gt;&gt;&gt;","",VLOOKUP(_xlfn.CONCAT($F$10,A73),PAB_CTB_Database!B:H,7,FALSE))</f>
        <v>46053</v>
      </c>
      <c r="D73" s="404" t="str">
        <f>IF($F$10=" &lt;&lt;&lt; Select Index &gt;&gt;&gt;","",IF(VLOOKUP($F$10&amp;$A73,PAB_CTB_Database!$B:$I,8,FALSE)=0,"",VLOOKUP($F$10&amp;$A73,PAB_CTB_Database!$B:$I,8,FALSE)))</f>
        <v/>
      </c>
      <c r="E73" s="405"/>
      <c r="F73" s="142" t="str">
        <f>IF($F$10=" &lt;&lt;&lt; Select Index &gt;&gt;&gt;","",IF(VLOOKUP($F$10&amp;$A73,PAB_CTB_Database!$B:$J,9,FALSE)=0,"",VLOOKUP($F$10&amp;$A73,PAB_CTB_Database!$B:$J,9,FALSE)))</f>
        <v/>
      </c>
      <c r="G73" s="142">
        <f>IF($F$10=" &lt;&lt;&lt; Select Index &gt;&gt;&gt;","",IF(VLOOKUP($F$10&amp;$A73,PAB_CTB_Database!$B:$K,10,FALSE)=0,"",VLOOKUP($F$10&amp;$A73,PAB_CTB_Database!$B:$K,10,FALSE)))</f>
        <v>14693231.906753175</v>
      </c>
      <c r="H73" s="143" t="str">
        <f>IF($F$10=" &lt;&lt;&lt; Select Index &gt;&gt;&gt;","",IF(F73="","",IF(VLOOKUP($F$10&amp;$A73,PAB_CTB_Database!$B:$L,11,FALSE)=0,"",VLOOKUP($F$10&amp;$A73,PAB_CTB_Database!$B:$L,11,FALSE))))</f>
        <v/>
      </c>
      <c r="I73" s="144" t="str">
        <f>IF($F$10=" &lt;&lt;&lt; Select Index &gt;&gt;&gt;","",IF(F73="","",IF(VLOOKUP($F$10&amp;$A73,PAB_CTB_Database!$B:$M,12,FALSE)=0,"",VLOOKUP($F$10&amp;$A73,PAB_CTB_Database!$B:$M,12,FALSE))))</f>
        <v/>
      </c>
      <c r="J73" s="145" t="str">
        <f>IF($F$10=" &lt;&lt;&lt; Select Index &gt;&gt;&gt;","",IF(VLOOKUP($F$10&amp;$A73,PAB_CTB_Database!$B:$N,13,FALSE)=0,"",VLOOKUP($F$10&amp;$A73,PAB_CTB_Database!$B:$N,13,FALSE)))</f>
        <v/>
      </c>
      <c r="K73" s="105" t="str">
        <f t="shared" si="0"/>
        <v/>
      </c>
      <c r="L73" s="115" t="str">
        <f t="shared" si="1"/>
        <v/>
      </c>
      <c r="M73" s="148" t="str">
        <f t="shared" si="2"/>
        <v/>
      </c>
      <c r="N73" s="115" t="str">
        <f t="shared" si="3"/>
        <v/>
      </c>
      <c r="O73" s="124" t="str">
        <f t="shared" si="4"/>
        <v/>
      </c>
      <c r="P73" s="110"/>
      <c r="Q73" s="118" t="str">
        <f>IF($F$10=" &lt;&lt;&lt; Select Index &gt;&gt;&gt;","",IF(D73="","",IF(VLOOKUP($F$10&amp;$A73,PAB_CTB_Database!$B:$O,14,FALSE)=0,"",VLOOKUP($F$10&amp;$A73,PAB_CTB_Database!$B:$O,14,FALSE))))</f>
        <v/>
      </c>
      <c r="R73" s="119" t="str">
        <f t="shared" si="5"/>
        <v/>
      </c>
      <c r="S73" s="15"/>
      <c r="V73" s="70"/>
    </row>
    <row r="74" spans="1:22" x14ac:dyDescent="0.3">
      <c r="A74" s="84">
        <v>47</v>
      </c>
      <c r="B74" s="46"/>
      <c r="C74" s="88">
        <f>IF($F$10=" &lt;&lt;&lt; Select Index &gt;&gt;&gt;","",VLOOKUP(_xlfn.CONCAT($F$10,A74),PAB_CTB_Database!B:H,7,FALSE))</f>
        <v>46081</v>
      </c>
      <c r="D74" s="404" t="str">
        <f>IF($F$10=" &lt;&lt;&lt; Select Index &gt;&gt;&gt;","",IF(VLOOKUP($F$10&amp;$A74,PAB_CTB_Database!$B:$I,8,FALSE)=0,"",VLOOKUP($F$10&amp;$A74,PAB_CTB_Database!$B:$I,8,FALSE)))</f>
        <v/>
      </c>
      <c r="E74" s="405"/>
      <c r="F74" s="142" t="str">
        <f>IF($F$10=" &lt;&lt;&lt; Select Index &gt;&gt;&gt;","",IF(VLOOKUP($F$10&amp;$A74,PAB_CTB_Database!$B:$J,9,FALSE)=0,"",VLOOKUP($F$10&amp;$A74,PAB_CTB_Database!$B:$J,9,FALSE)))</f>
        <v/>
      </c>
      <c r="G74" s="142">
        <f>IF($F$10=" &lt;&lt;&lt; Select Index &gt;&gt;&gt;","",IF(VLOOKUP($F$10&amp;$A74,PAB_CTB_Database!$B:$K,10,FALSE)=0,"",VLOOKUP($F$10&amp;$A74,PAB_CTB_Database!$B:$K,10,FALSE)))</f>
        <v>14604641.885100314</v>
      </c>
      <c r="H74" s="143" t="str">
        <f>IF($F$10=" &lt;&lt;&lt; Select Index &gt;&gt;&gt;","",IF(F74="","",IF(VLOOKUP($F$10&amp;$A74,PAB_CTB_Database!$B:$L,11,FALSE)=0,"",VLOOKUP($F$10&amp;$A74,PAB_CTB_Database!$B:$L,11,FALSE))))</f>
        <v/>
      </c>
      <c r="I74" s="144" t="str">
        <f>IF($F$10=" &lt;&lt;&lt; Select Index &gt;&gt;&gt;","",IF(F74="","",IF(VLOOKUP($F$10&amp;$A74,PAB_CTB_Database!$B:$M,12,FALSE)=0,"",VLOOKUP($F$10&amp;$A74,PAB_CTB_Database!$B:$M,12,FALSE))))</f>
        <v/>
      </c>
      <c r="J74" s="145" t="str">
        <f>IF($F$10=" &lt;&lt;&lt; Select Index &gt;&gt;&gt;","",IF(VLOOKUP($F$10&amp;$A74,PAB_CTB_Database!$B:$N,13,FALSE)=0,"",VLOOKUP($F$10&amp;$A74,PAB_CTB_Database!$B:$N,13,FALSE)))</f>
        <v/>
      </c>
      <c r="K74" s="105" t="str">
        <f t="shared" si="0"/>
        <v/>
      </c>
      <c r="L74" s="115" t="str">
        <f t="shared" si="1"/>
        <v/>
      </c>
      <c r="M74" s="148" t="str">
        <f t="shared" si="2"/>
        <v/>
      </c>
      <c r="N74" s="115" t="str">
        <f t="shared" si="3"/>
        <v/>
      </c>
      <c r="O74" s="124" t="str">
        <f t="shared" si="4"/>
        <v/>
      </c>
      <c r="P74" s="110"/>
      <c r="Q74" s="118" t="str">
        <f>IF($F$10=" &lt;&lt;&lt; Select Index &gt;&gt;&gt;","",IF(D74="","",IF(VLOOKUP($F$10&amp;$A74,PAB_CTB_Database!$B:$O,14,FALSE)=0,"",VLOOKUP($F$10&amp;$A74,PAB_CTB_Database!$B:$O,14,FALSE))))</f>
        <v/>
      </c>
      <c r="R74" s="119" t="str">
        <f t="shared" si="5"/>
        <v/>
      </c>
      <c r="S74" s="15"/>
      <c r="V74" s="70"/>
    </row>
    <row r="75" spans="1:22" x14ac:dyDescent="0.3">
      <c r="A75" s="84">
        <v>48</v>
      </c>
      <c r="B75" s="46"/>
      <c r="C75" s="88">
        <f>IF($F$10=" &lt;&lt;&lt; Select Index &gt;&gt;&gt;","",VLOOKUP(_xlfn.CONCAT($F$10,A75),PAB_CTB_Database!B:H,7,FALSE))</f>
        <v>46112</v>
      </c>
      <c r="D75" s="404" t="str">
        <f>IF($F$10=" &lt;&lt;&lt; Select Index &gt;&gt;&gt;","",IF(VLOOKUP($F$10&amp;$A75,PAB_CTB_Database!$B:$I,8,FALSE)=0,"",VLOOKUP($F$10&amp;$A75,PAB_CTB_Database!$B:$I,8,FALSE)))</f>
        <v/>
      </c>
      <c r="E75" s="405"/>
      <c r="F75" s="142" t="str">
        <f>IF($F$10=" &lt;&lt;&lt; Select Index &gt;&gt;&gt;","",IF(VLOOKUP($F$10&amp;$A75,PAB_CTB_Database!$B:$J,9,FALSE)=0,"",VLOOKUP($F$10&amp;$A75,PAB_CTB_Database!$B:$J,9,FALSE)))</f>
        <v/>
      </c>
      <c r="G75" s="142">
        <f>IF($F$10=" &lt;&lt;&lt; Select Index &gt;&gt;&gt;","",IF(VLOOKUP($F$10&amp;$A75,PAB_CTB_Database!$B:$K,10,FALSE)=0,"",VLOOKUP($F$10&amp;$A75,PAB_CTB_Database!$B:$K,10,FALSE)))</f>
        <v>14516585.999979584</v>
      </c>
      <c r="H75" s="143" t="str">
        <f>IF($F$10=" &lt;&lt;&lt; Select Index &gt;&gt;&gt;","",IF(F75="","",IF(VLOOKUP($F$10&amp;$A75,PAB_CTB_Database!$B:$L,11,FALSE)=0,"",VLOOKUP($F$10&amp;$A75,PAB_CTB_Database!$B:$L,11,FALSE))))</f>
        <v/>
      </c>
      <c r="I75" s="144" t="str">
        <f>IF($F$10=" &lt;&lt;&lt; Select Index &gt;&gt;&gt;","",IF(F75="","",IF(VLOOKUP($F$10&amp;$A75,PAB_CTB_Database!$B:$M,12,FALSE)=0,"",VLOOKUP($F$10&amp;$A75,PAB_CTB_Database!$B:$M,12,FALSE))))</f>
        <v/>
      </c>
      <c r="J75" s="145" t="str">
        <f>IF($F$10=" &lt;&lt;&lt; Select Index &gt;&gt;&gt;","",IF(VLOOKUP($F$10&amp;$A75,PAB_CTB_Database!$B:$N,13,FALSE)=0,"",VLOOKUP($F$10&amp;$A75,PAB_CTB_Database!$B:$N,13,FALSE)))</f>
        <v/>
      </c>
      <c r="K75" s="105" t="str">
        <f t="shared" si="0"/>
        <v/>
      </c>
      <c r="L75" s="115" t="str">
        <f t="shared" si="1"/>
        <v/>
      </c>
      <c r="M75" s="148" t="str">
        <f t="shared" si="2"/>
        <v/>
      </c>
      <c r="N75" s="115" t="str">
        <f t="shared" si="3"/>
        <v/>
      </c>
      <c r="O75" s="124" t="str">
        <f t="shared" si="4"/>
        <v/>
      </c>
      <c r="P75" s="110"/>
      <c r="Q75" s="118" t="str">
        <f>IF($F$10=" &lt;&lt;&lt; Select Index &gt;&gt;&gt;","",IF(D75="","",IF(VLOOKUP($F$10&amp;$A75,PAB_CTB_Database!$B:$O,14,FALSE)=0,"",VLOOKUP($F$10&amp;$A75,PAB_CTB_Database!$B:$O,14,FALSE))))</f>
        <v/>
      </c>
      <c r="R75" s="119" t="str">
        <f t="shared" si="5"/>
        <v/>
      </c>
      <c r="S75" s="15"/>
      <c r="V75" s="70"/>
    </row>
    <row r="76" spans="1:22" x14ac:dyDescent="0.3">
      <c r="A76" s="84">
        <v>49</v>
      </c>
      <c r="B76" s="46"/>
      <c r="C76" s="88">
        <f>IF($F$10=" &lt;&lt;&lt; Select Index &gt;&gt;&gt;","",VLOOKUP(_xlfn.CONCAT($F$10,A76),PAB_CTB_Database!B:H,7,FALSE))</f>
        <v>46142</v>
      </c>
      <c r="D76" s="404" t="str">
        <f>IF($F$10=" &lt;&lt;&lt; Select Index &gt;&gt;&gt;","",IF(VLOOKUP($F$10&amp;$A76,PAB_CTB_Database!$B:$I,8,FALSE)=0,"",VLOOKUP($F$10&amp;$A76,PAB_CTB_Database!$B:$I,8,FALSE)))</f>
        <v/>
      </c>
      <c r="E76" s="405"/>
      <c r="F76" s="142" t="str">
        <f>IF($F$10=" &lt;&lt;&lt; Select Index &gt;&gt;&gt;","",IF(VLOOKUP($F$10&amp;$A76,PAB_CTB_Database!$B:$J,9,FALSE)=0,"",VLOOKUP($F$10&amp;$A76,PAB_CTB_Database!$B:$J,9,FALSE)))</f>
        <v/>
      </c>
      <c r="G76" s="142">
        <f>IF($F$10=" &lt;&lt;&lt; Select Index &gt;&gt;&gt;","",IF(VLOOKUP($F$10&amp;$A76,PAB_CTB_Database!$B:$K,10,FALSE)=0,"",VLOOKUP($F$10&amp;$A76,PAB_CTB_Database!$B:$K,10,FALSE)))</f>
        <v>14429061.030917283</v>
      </c>
      <c r="H76" s="143" t="str">
        <f>IF($F$10=" &lt;&lt;&lt; Select Index &gt;&gt;&gt;","",IF(F76="","",IF(VLOOKUP($F$10&amp;$A76,PAB_CTB_Database!$B:$L,11,FALSE)=0,"",VLOOKUP($F$10&amp;$A76,PAB_CTB_Database!$B:$L,11,FALSE))))</f>
        <v/>
      </c>
      <c r="I76" s="144" t="str">
        <f>IF($F$10=" &lt;&lt;&lt; Select Index &gt;&gt;&gt;","",IF(F76="","",IF(VLOOKUP($F$10&amp;$A76,PAB_CTB_Database!$B:$M,12,FALSE)=0,"",VLOOKUP($F$10&amp;$A76,PAB_CTB_Database!$B:$M,12,FALSE))))</f>
        <v/>
      </c>
      <c r="J76" s="145" t="str">
        <f>IF($F$10=" &lt;&lt;&lt; Select Index &gt;&gt;&gt;","",IF(VLOOKUP($F$10&amp;$A76,PAB_CTB_Database!$B:$N,13,FALSE)=0,"",VLOOKUP($F$10&amp;$A76,PAB_CTB_Database!$B:$N,13,FALSE)))</f>
        <v/>
      </c>
      <c r="K76" s="105" t="str">
        <f t="shared" si="0"/>
        <v/>
      </c>
      <c r="L76" s="115" t="str">
        <f t="shared" si="1"/>
        <v/>
      </c>
      <c r="M76" s="148" t="str">
        <f t="shared" si="2"/>
        <v/>
      </c>
      <c r="N76" s="115" t="str">
        <f t="shared" si="3"/>
        <v/>
      </c>
      <c r="O76" s="124" t="str">
        <f t="shared" si="4"/>
        <v/>
      </c>
      <c r="P76" s="110"/>
      <c r="Q76" s="118" t="str">
        <f>IF($F$10=" &lt;&lt;&lt; Select Index &gt;&gt;&gt;","",IF(D76="","",IF(VLOOKUP($F$10&amp;$A76,PAB_CTB_Database!$B:$O,14,FALSE)=0,"",VLOOKUP($F$10&amp;$A76,PAB_CTB_Database!$B:$O,14,FALSE))))</f>
        <v/>
      </c>
      <c r="R76" s="119" t="str">
        <f t="shared" si="5"/>
        <v/>
      </c>
      <c r="S76" s="15"/>
      <c r="V76" s="70"/>
    </row>
    <row r="77" spans="1:22" x14ac:dyDescent="0.3">
      <c r="A77" s="84">
        <v>50</v>
      </c>
      <c r="B77" s="46"/>
      <c r="C77" s="88">
        <f>IF($F$10=" &lt;&lt;&lt; Select Index &gt;&gt;&gt;","",VLOOKUP(_xlfn.CONCAT($F$10,A77),PAB_CTB_Database!B:H,7,FALSE))</f>
        <v>46173</v>
      </c>
      <c r="D77" s="404" t="str">
        <f>IF($F$10=" &lt;&lt;&lt; Select Index &gt;&gt;&gt;","",IF(VLOOKUP($F$10&amp;$A77,PAB_CTB_Database!$B:$I,8,FALSE)=0,"",VLOOKUP($F$10&amp;$A77,PAB_CTB_Database!$B:$I,8,FALSE)))</f>
        <v/>
      </c>
      <c r="E77" s="405"/>
      <c r="F77" s="142" t="str">
        <f>IF($F$10=" &lt;&lt;&lt; Select Index &gt;&gt;&gt;","",IF(VLOOKUP($F$10&amp;$A77,PAB_CTB_Database!$B:$J,9,FALSE)=0,"",VLOOKUP($F$10&amp;$A77,PAB_CTB_Database!$B:$J,9,FALSE)))</f>
        <v/>
      </c>
      <c r="G77" s="142">
        <f>IF($F$10=" &lt;&lt;&lt; Select Index &gt;&gt;&gt;","",IF(VLOOKUP($F$10&amp;$A77,PAB_CTB_Database!$B:$K,10,FALSE)=0,"",VLOOKUP($F$10&amp;$A77,PAB_CTB_Database!$B:$K,10,FALSE)))</f>
        <v>14342063.776856933</v>
      </c>
      <c r="H77" s="143" t="str">
        <f>IF($F$10=" &lt;&lt;&lt; Select Index &gt;&gt;&gt;","",IF(F77="","",IF(VLOOKUP($F$10&amp;$A77,PAB_CTB_Database!$B:$L,11,FALSE)=0,"",VLOOKUP($F$10&amp;$A77,PAB_CTB_Database!$B:$L,11,FALSE))))</f>
        <v/>
      </c>
      <c r="I77" s="144" t="str">
        <f>IF($F$10=" &lt;&lt;&lt; Select Index &gt;&gt;&gt;","",IF(F77="","",IF(VLOOKUP($F$10&amp;$A77,PAB_CTB_Database!$B:$M,12,FALSE)=0,"",VLOOKUP($F$10&amp;$A77,PAB_CTB_Database!$B:$M,12,FALSE))))</f>
        <v/>
      </c>
      <c r="J77" s="145" t="str">
        <f>IF($F$10=" &lt;&lt;&lt; Select Index &gt;&gt;&gt;","",IF(VLOOKUP($F$10&amp;$A77,PAB_CTB_Database!$B:$N,13,FALSE)=0,"",VLOOKUP($F$10&amp;$A77,PAB_CTB_Database!$B:$N,13,FALSE)))</f>
        <v/>
      </c>
      <c r="K77" s="105" t="str">
        <f t="shared" si="0"/>
        <v/>
      </c>
      <c r="L77" s="115" t="str">
        <f t="shared" si="1"/>
        <v/>
      </c>
      <c r="M77" s="148" t="str">
        <f t="shared" si="2"/>
        <v/>
      </c>
      <c r="N77" s="115" t="str">
        <f t="shared" si="3"/>
        <v/>
      </c>
      <c r="O77" s="124" t="str">
        <f t="shared" si="4"/>
        <v/>
      </c>
      <c r="P77" s="110"/>
      <c r="Q77" s="118" t="str">
        <f>IF($F$10=" &lt;&lt;&lt; Select Index &gt;&gt;&gt;","",IF(D77="","",IF(VLOOKUP($F$10&amp;$A77,PAB_CTB_Database!$B:$O,14,FALSE)=0,"",VLOOKUP($F$10&amp;$A77,PAB_CTB_Database!$B:$O,14,FALSE))))</f>
        <v/>
      </c>
      <c r="R77" s="119" t="str">
        <f t="shared" si="5"/>
        <v/>
      </c>
      <c r="S77" s="15"/>
      <c r="V77" s="70"/>
    </row>
    <row r="78" spans="1:22" x14ac:dyDescent="0.3">
      <c r="A78" s="84">
        <v>51</v>
      </c>
      <c r="B78" s="46"/>
      <c r="C78" s="88">
        <f>IF($F$10=" &lt;&lt;&lt; Select Index &gt;&gt;&gt;","",VLOOKUP(_xlfn.CONCAT($F$10,A78),PAB_CTB_Database!B:H,7,FALSE))</f>
        <v>46203</v>
      </c>
      <c r="D78" s="404" t="str">
        <f>IF($F$10=" &lt;&lt;&lt; Select Index &gt;&gt;&gt;","",IF(VLOOKUP($F$10&amp;$A78,PAB_CTB_Database!$B:$I,8,FALSE)=0,"",VLOOKUP($F$10&amp;$A78,PAB_CTB_Database!$B:$I,8,FALSE)))</f>
        <v/>
      </c>
      <c r="E78" s="405"/>
      <c r="F78" s="142" t="str">
        <f>IF($F$10=" &lt;&lt;&lt; Select Index &gt;&gt;&gt;","",IF(VLOOKUP($F$10&amp;$A78,PAB_CTB_Database!$B:$J,9,FALSE)=0,"",VLOOKUP($F$10&amp;$A78,PAB_CTB_Database!$B:$J,9,FALSE)))</f>
        <v/>
      </c>
      <c r="G78" s="142">
        <f>IF($F$10=" &lt;&lt;&lt; Select Index &gt;&gt;&gt;","",IF(VLOOKUP($F$10&amp;$A78,PAB_CTB_Database!$B:$K,10,FALSE)=0,"",VLOOKUP($F$10&amp;$A78,PAB_CTB_Database!$B:$K,10,FALSE)))</f>
        <v>14255591.056042224</v>
      </c>
      <c r="H78" s="143" t="str">
        <f>IF($F$10=" &lt;&lt;&lt; Select Index &gt;&gt;&gt;","",IF(F78="","",IF(VLOOKUP($F$10&amp;$A78,PAB_CTB_Database!$B:$L,11,FALSE)=0,"",VLOOKUP($F$10&amp;$A78,PAB_CTB_Database!$B:$L,11,FALSE))))</f>
        <v/>
      </c>
      <c r="I78" s="144" t="str">
        <f>IF($F$10=" &lt;&lt;&lt; Select Index &gt;&gt;&gt;","",IF(F78="","",IF(VLOOKUP($F$10&amp;$A78,PAB_CTB_Database!$B:$M,12,FALSE)=0,"",VLOOKUP($F$10&amp;$A78,PAB_CTB_Database!$B:$M,12,FALSE))))</f>
        <v/>
      </c>
      <c r="J78" s="145" t="str">
        <f>IF($F$10=" &lt;&lt;&lt; Select Index &gt;&gt;&gt;","",IF(VLOOKUP($F$10&amp;$A78,PAB_CTB_Database!$B:$N,13,FALSE)=0,"",VLOOKUP($F$10&amp;$A78,PAB_CTB_Database!$B:$N,13,FALSE)))</f>
        <v/>
      </c>
      <c r="K78" s="105" t="str">
        <f t="shared" si="0"/>
        <v/>
      </c>
      <c r="L78" s="115" t="str">
        <f t="shared" si="1"/>
        <v/>
      </c>
      <c r="M78" s="148" t="str">
        <f t="shared" si="2"/>
        <v/>
      </c>
      <c r="N78" s="115" t="str">
        <f t="shared" si="3"/>
        <v/>
      </c>
      <c r="O78" s="124" t="str">
        <f t="shared" si="4"/>
        <v/>
      </c>
      <c r="P78" s="110"/>
      <c r="Q78" s="118" t="str">
        <f>IF($F$10=" &lt;&lt;&lt; Select Index &gt;&gt;&gt;","",IF(D78="","",IF(VLOOKUP($F$10&amp;$A78,PAB_CTB_Database!$B:$O,14,FALSE)=0,"",VLOOKUP($F$10&amp;$A78,PAB_CTB_Database!$B:$O,14,FALSE))))</f>
        <v/>
      </c>
      <c r="R78" s="119" t="str">
        <f t="shared" si="5"/>
        <v/>
      </c>
      <c r="S78" s="15"/>
      <c r="V78" s="70"/>
    </row>
    <row r="79" spans="1:22" x14ac:dyDescent="0.3">
      <c r="A79" s="84">
        <v>52</v>
      </c>
      <c r="B79" s="46"/>
      <c r="C79" s="88">
        <f>IF($F$10=" &lt;&lt;&lt; Select Index &gt;&gt;&gt;","",VLOOKUP(_xlfn.CONCAT($F$10,A79),PAB_CTB_Database!B:H,7,FALSE))</f>
        <v>46234</v>
      </c>
      <c r="D79" s="404" t="str">
        <f>IF($F$10=" &lt;&lt;&lt; Select Index &gt;&gt;&gt;","",IF(VLOOKUP($F$10&amp;$A79,PAB_CTB_Database!$B:$I,8,FALSE)=0,"",VLOOKUP($F$10&amp;$A79,PAB_CTB_Database!$B:$I,8,FALSE)))</f>
        <v/>
      </c>
      <c r="E79" s="405"/>
      <c r="F79" s="142" t="str">
        <f>IF($F$10=" &lt;&lt;&lt; Select Index &gt;&gt;&gt;","",IF(VLOOKUP($F$10&amp;$A79,PAB_CTB_Database!$B:$J,9,FALSE)=0,"",VLOOKUP($F$10&amp;$A79,PAB_CTB_Database!$B:$J,9,FALSE)))</f>
        <v/>
      </c>
      <c r="G79" s="142">
        <f>IF($F$10=" &lt;&lt;&lt; Select Index &gt;&gt;&gt;","",IF(VLOOKUP($F$10&amp;$A79,PAB_CTB_Database!$B:$K,10,FALSE)=0,"",VLOOKUP($F$10&amp;$A79,PAB_CTB_Database!$B:$K,10,FALSE)))</f>
        <v>14169639.705900623</v>
      </c>
      <c r="H79" s="143" t="str">
        <f>IF($F$10=" &lt;&lt;&lt; Select Index &gt;&gt;&gt;","",IF(F79="","",IF(VLOOKUP($F$10&amp;$A79,PAB_CTB_Database!$B:$L,11,FALSE)=0,"",VLOOKUP($F$10&amp;$A79,PAB_CTB_Database!$B:$L,11,FALSE))))</f>
        <v/>
      </c>
      <c r="I79" s="144" t="str">
        <f>IF($F$10=" &lt;&lt;&lt; Select Index &gt;&gt;&gt;","",IF(F79="","",IF(VLOOKUP($F$10&amp;$A79,PAB_CTB_Database!$B:$M,12,FALSE)=0,"",VLOOKUP($F$10&amp;$A79,PAB_CTB_Database!$B:$M,12,FALSE))))</f>
        <v/>
      </c>
      <c r="J79" s="145" t="str">
        <f>IF($F$10=" &lt;&lt;&lt; Select Index &gt;&gt;&gt;","",IF(VLOOKUP($F$10&amp;$A79,PAB_CTB_Database!$B:$N,13,FALSE)=0,"",VLOOKUP($F$10&amp;$A79,PAB_CTB_Database!$B:$N,13,FALSE)))</f>
        <v/>
      </c>
      <c r="K79" s="105" t="str">
        <f t="shared" si="0"/>
        <v/>
      </c>
      <c r="L79" s="115" t="str">
        <f t="shared" si="1"/>
        <v/>
      </c>
      <c r="M79" s="148" t="str">
        <f t="shared" si="2"/>
        <v/>
      </c>
      <c r="N79" s="115" t="str">
        <f t="shared" si="3"/>
        <v/>
      </c>
      <c r="O79" s="124" t="str">
        <f t="shared" si="4"/>
        <v/>
      </c>
      <c r="P79" s="110"/>
      <c r="Q79" s="118" t="str">
        <f>IF($F$10=" &lt;&lt;&lt; Select Index &gt;&gt;&gt;","",IF(D79="","",IF(VLOOKUP($F$10&amp;$A79,PAB_CTB_Database!$B:$O,14,FALSE)=0,"",VLOOKUP($F$10&amp;$A79,PAB_CTB_Database!$B:$O,14,FALSE))))</f>
        <v/>
      </c>
      <c r="R79" s="119" t="str">
        <f t="shared" si="5"/>
        <v/>
      </c>
      <c r="S79" s="15"/>
      <c r="V79" s="70"/>
    </row>
    <row r="80" spans="1:22" x14ac:dyDescent="0.3">
      <c r="A80" s="84">
        <v>53</v>
      </c>
      <c r="B80" s="46"/>
      <c r="C80" s="88">
        <f>IF($F$10=" &lt;&lt;&lt; Select Index &gt;&gt;&gt;","",VLOOKUP(_xlfn.CONCAT($F$10,A80),PAB_CTB_Database!B:H,7,FALSE))</f>
        <v>46265</v>
      </c>
      <c r="D80" s="404" t="str">
        <f>IF($F$10=" &lt;&lt;&lt; Select Index &gt;&gt;&gt;","",IF(VLOOKUP($F$10&amp;$A80,PAB_CTB_Database!$B:$I,8,FALSE)=0,"",VLOOKUP($F$10&amp;$A80,PAB_CTB_Database!$B:$I,8,FALSE)))</f>
        <v/>
      </c>
      <c r="E80" s="405"/>
      <c r="F80" s="142" t="str">
        <f>IF($F$10=" &lt;&lt;&lt; Select Index &gt;&gt;&gt;","",IF(VLOOKUP($F$10&amp;$A80,PAB_CTB_Database!$B:$J,9,FALSE)=0,"",VLOOKUP($F$10&amp;$A80,PAB_CTB_Database!$B:$J,9,FALSE)))</f>
        <v/>
      </c>
      <c r="G80" s="142">
        <f>IF($F$10=" &lt;&lt;&lt; Select Index &gt;&gt;&gt;","",IF(VLOOKUP($F$10&amp;$A80,PAB_CTB_Database!$B:$K,10,FALSE)=0,"",VLOOKUP($F$10&amp;$A80,PAB_CTB_Database!$B:$K,10,FALSE)))</f>
        <v>14084206.582927722</v>
      </c>
      <c r="H80" s="143" t="str">
        <f>IF($F$10=" &lt;&lt;&lt; Select Index &gt;&gt;&gt;","",IF(F80="","",IF(VLOOKUP($F$10&amp;$A80,PAB_CTB_Database!$B:$L,11,FALSE)=0,"",VLOOKUP($F$10&amp;$A80,PAB_CTB_Database!$B:$L,11,FALSE))))</f>
        <v/>
      </c>
      <c r="I80" s="144" t="str">
        <f>IF($F$10=" &lt;&lt;&lt; Select Index &gt;&gt;&gt;","",IF(F80="","",IF(VLOOKUP($F$10&amp;$A80,PAB_CTB_Database!$B:$M,12,FALSE)=0,"",VLOOKUP($F$10&amp;$A80,PAB_CTB_Database!$B:$M,12,FALSE))))</f>
        <v/>
      </c>
      <c r="J80" s="145" t="str">
        <f>IF($F$10=" &lt;&lt;&lt; Select Index &gt;&gt;&gt;","",IF(VLOOKUP($F$10&amp;$A80,PAB_CTB_Database!$B:$N,13,FALSE)=0,"",VLOOKUP($F$10&amp;$A80,PAB_CTB_Database!$B:$N,13,FALSE)))</f>
        <v/>
      </c>
      <c r="K80" s="105" t="str">
        <f t="shared" si="0"/>
        <v/>
      </c>
      <c r="L80" s="115" t="str">
        <f t="shared" si="1"/>
        <v/>
      </c>
      <c r="M80" s="148" t="str">
        <f t="shared" si="2"/>
        <v/>
      </c>
      <c r="N80" s="115" t="str">
        <f t="shared" si="3"/>
        <v/>
      </c>
      <c r="O80" s="124" t="str">
        <f t="shared" si="4"/>
        <v/>
      </c>
      <c r="P80" s="110"/>
      <c r="Q80" s="118" t="str">
        <f>IF($F$10=" &lt;&lt;&lt; Select Index &gt;&gt;&gt;","",IF(D80="","",IF(VLOOKUP($F$10&amp;$A80,PAB_CTB_Database!$B:$O,14,FALSE)=0,"",VLOOKUP($F$10&amp;$A80,PAB_CTB_Database!$B:$O,14,FALSE))))</f>
        <v/>
      </c>
      <c r="R80" s="119" t="str">
        <f t="shared" si="5"/>
        <v/>
      </c>
      <c r="S80" s="15"/>
      <c r="V80" s="70"/>
    </row>
    <row r="81" spans="1:22" x14ac:dyDescent="0.3">
      <c r="A81" s="84">
        <v>54</v>
      </c>
      <c r="B81" s="46"/>
      <c r="C81" s="88">
        <f>IF($F$10=" &lt;&lt;&lt; Select Index &gt;&gt;&gt;","",VLOOKUP(_xlfn.CONCAT($F$10,A81),PAB_CTB_Database!B:H,7,FALSE))</f>
        <v>46295</v>
      </c>
      <c r="D81" s="404" t="str">
        <f>IF($F$10=" &lt;&lt;&lt; Select Index &gt;&gt;&gt;","",IF(VLOOKUP($F$10&amp;$A81,PAB_CTB_Database!$B:$I,8,FALSE)=0,"",VLOOKUP($F$10&amp;$A81,PAB_CTB_Database!$B:$I,8,FALSE)))</f>
        <v/>
      </c>
      <c r="E81" s="405"/>
      <c r="F81" s="142" t="str">
        <f>IF($F$10=" &lt;&lt;&lt; Select Index &gt;&gt;&gt;","",IF(VLOOKUP($F$10&amp;$A81,PAB_CTB_Database!$B:$J,9,FALSE)=0,"",VLOOKUP($F$10&amp;$A81,PAB_CTB_Database!$B:$J,9,FALSE)))</f>
        <v/>
      </c>
      <c r="G81" s="142">
        <f>IF($F$10=" &lt;&lt;&lt; Select Index &gt;&gt;&gt;","",IF(VLOOKUP($F$10&amp;$A81,PAB_CTB_Database!$B:$K,10,FALSE)=0,"",VLOOKUP($F$10&amp;$A81,PAB_CTB_Database!$B:$K,10,FALSE)))</f>
        <v>13999288.562572278</v>
      </c>
      <c r="H81" s="143" t="str">
        <f>IF($F$10=" &lt;&lt;&lt; Select Index &gt;&gt;&gt;","",IF(F81="","",IF(VLOOKUP($F$10&amp;$A81,PAB_CTB_Database!$B:$L,11,FALSE)=0,"",VLOOKUP($F$10&amp;$A81,PAB_CTB_Database!$B:$L,11,FALSE))))</f>
        <v/>
      </c>
      <c r="I81" s="144" t="str">
        <f>IF($F$10=" &lt;&lt;&lt; Select Index &gt;&gt;&gt;","",IF(F81="","",IF(VLOOKUP($F$10&amp;$A81,PAB_CTB_Database!$B:$M,12,FALSE)=0,"",VLOOKUP($F$10&amp;$A81,PAB_CTB_Database!$B:$M,12,FALSE))))</f>
        <v/>
      </c>
      <c r="J81" s="145" t="str">
        <f>IF($F$10=" &lt;&lt;&lt; Select Index &gt;&gt;&gt;","",IF(VLOOKUP($F$10&amp;$A81,PAB_CTB_Database!$B:$N,13,FALSE)=0,"",VLOOKUP($F$10&amp;$A81,PAB_CTB_Database!$B:$N,13,FALSE)))</f>
        <v/>
      </c>
      <c r="K81" s="105" t="str">
        <f t="shared" si="0"/>
        <v/>
      </c>
      <c r="L81" s="115" t="str">
        <f t="shared" si="1"/>
        <v/>
      </c>
      <c r="M81" s="148" t="str">
        <f t="shared" si="2"/>
        <v/>
      </c>
      <c r="N81" s="115" t="str">
        <f t="shared" si="3"/>
        <v/>
      </c>
      <c r="O81" s="124" t="str">
        <f t="shared" si="4"/>
        <v/>
      </c>
      <c r="P81" s="110"/>
      <c r="Q81" s="118" t="str">
        <f>IF($F$10=" &lt;&lt;&lt; Select Index &gt;&gt;&gt;","",IF(D81="","",IF(VLOOKUP($F$10&amp;$A81,PAB_CTB_Database!$B:$O,14,FALSE)=0,"",VLOOKUP($F$10&amp;$A81,PAB_CTB_Database!$B:$O,14,FALSE))))</f>
        <v/>
      </c>
      <c r="R81" s="119" t="str">
        <f t="shared" si="5"/>
        <v/>
      </c>
      <c r="S81" s="15"/>
      <c r="V81" s="70"/>
    </row>
    <row r="82" spans="1:22" x14ac:dyDescent="0.3">
      <c r="A82" s="84">
        <v>55</v>
      </c>
      <c r="B82" s="46"/>
      <c r="C82" s="88">
        <f>IF($F$10=" &lt;&lt;&lt; Select Index &gt;&gt;&gt;","",VLOOKUP(_xlfn.CONCAT($F$10,A82),PAB_CTB_Database!B:H,7,FALSE))</f>
        <v>46326</v>
      </c>
      <c r="D82" s="404" t="str">
        <f>IF($F$10=" &lt;&lt;&lt; Select Index &gt;&gt;&gt;","",IF(VLOOKUP($F$10&amp;$A82,PAB_CTB_Database!$B:$I,8,FALSE)=0,"",VLOOKUP($F$10&amp;$A82,PAB_CTB_Database!$B:$I,8,FALSE)))</f>
        <v/>
      </c>
      <c r="E82" s="405"/>
      <c r="F82" s="142" t="str">
        <f>IF($F$10=" &lt;&lt;&lt; Select Index &gt;&gt;&gt;","",IF(VLOOKUP($F$10&amp;$A82,PAB_CTB_Database!$B:$J,9,FALSE)=0,"",VLOOKUP($F$10&amp;$A82,PAB_CTB_Database!$B:$J,9,FALSE)))</f>
        <v/>
      </c>
      <c r="G82" s="142">
        <f>IF($F$10=" &lt;&lt;&lt; Select Index &gt;&gt;&gt;","",IF(VLOOKUP($F$10&amp;$A82,PAB_CTB_Database!$B:$K,10,FALSE)=0,"",VLOOKUP($F$10&amp;$A82,PAB_CTB_Database!$B:$K,10,FALSE)))</f>
        <v>13914882.539121924</v>
      </c>
      <c r="H82" s="143" t="str">
        <f>IF($F$10=" &lt;&lt;&lt; Select Index &gt;&gt;&gt;","",IF(F82="","",IF(VLOOKUP($F$10&amp;$A82,PAB_CTB_Database!$B:$L,11,FALSE)=0,"",VLOOKUP($F$10&amp;$A82,PAB_CTB_Database!$B:$L,11,FALSE))))</f>
        <v/>
      </c>
      <c r="I82" s="144" t="str">
        <f>IF($F$10=" &lt;&lt;&lt; Select Index &gt;&gt;&gt;","",IF(F82="","",IF(VLOOKUP($F$10&amp;$A82,PAB_CTB_Database!$B:$M,12,FALSE)=0,"",VLOOKUP($F$10&amp;$A82,PAB_CTB_Database!$B:$M,12,FALSE))))</f>
        <v/>
      </c>
      <c r="J82" s="145" t="str">
        <f>IF($F$10=" &lt;&lt;&lt; Select Index &gt;&gt;&gt;","",IF(VLOOKUP($F$10&amp;$A82,PAB_CTB_Database!$B:$N,13,FALSE)=0,"",VLOOKUP($F$10&amp;$A82,PAB_CTB_Database!$B:$N,13,FALSE)))</f>
        <v/>
      </c>
      <c r="K82" s="105" t="str">
        <f t="shared" si="0"/>
        <v/>
      </c>
      <c r="L82" s="115" t="str">
        <f t="shared" si="1"/>
        <v/>
      </c>
      <c r="M82" s="148" t="str">
        <f t="shared" si="2"/>
        <v/>
      </c>
      <c r="N82" s="115" t="str">
        <f t="shared" si="3"/>
        <v/>
      </c>
      <c r="O82" s="124" t="str">
        <f t="shared" si="4"/>
        <v/>
      </c>
      <c r="P82" s="110"/>
      <c r="Q82" s="118" t="str">
        <f>IF($F$10=" &lt;&lt;&lt; Select Index &gt;&gt;&gt;","",IF(D82="","",IF(VLOOKUP($F$10&amp;$A82,PAB_CTB_Database!$B:$O,14,FALSE)=0,"",VLOOKUP($F$10&amp;$A82,PAB_CTB_Database!$B:$O,14,FALSE))))</f>
        <v/>
      </c>
      <c r="R82" s="119" t="str">
        <f t="shared" si="5"/>
        <v/>
      </c>
      <c r="S82" s="15"/>
      <c r="V82" s="70"/>
    </row>
    <row r="83" spans="1:22" x14ac:dyDescent="0.3">
      <c r="A83" s="84">
        <v>56</v>
      </c>
      <c r="B83" s="46"/>
      <c r="C83" s="88">
        <f>IF($F$10=" &lt;&lt;&lt; Select Index &gt;&gt;&gt;","",VLOOKUP(_xlfn.CONCAT($F$10,A83),PAB_CTB_Database!B:H,7,FALSE))</f>
        <v>46356</v>
      </c>
      <c r="D83" s="404" t="str">
        <f>IF($F$10=" &lt;&lt;&lt; Select Index &gt;&gt;&gt;","",IF(VLOOKUP($F$10&amp;$A83,PAB_CTB_Database!$B:$I,8,FALSE)=0,"",VLOOKUP($F$10&amp;$A83,PAB_CTB_Database!$B:$I,8,FALSE)))</f>
        <v/>
      </c>
      <c r="E83" s="405"/>
      <c r="F83" s="142" t="str">
        <f>IF($F$10=" &lt;&lt;&lt; Select Index &gt;&gt;&gt;","",IF(VLOOKUP($F$10&amp;$A83,PAB_CTB_Database!$B:$J,9,FALSE)=0,"",VLOOKUP($F$10&amp;$A83,PAB_CTB_Database!$B:$J,9,FALSE)))</f>
        <v/>
      </c>
      <c r="G83" s="142">
        <f>IF($F$10=" &lt;&lt;&lt; Select Index &gt;&gt;&gt;","",IF(VLOOKUP($F$10&amp;$A83,PAB_CTB_Database!$B:$K,10,FALSE)=0,"",VLOOKUP($F$10&amp;$A83,PAB_CTB_Database!$B:$K,10,FALSE)))</f>
        <v>13830985.425589588</v>
      </c>
      <c r="H83" s="143" t="str">
        <f>IF($F$10=" &lt;&lt;&lt; Select Index &gt;&gt;&gt;","",IF(F83="","",IF(VLOOKUP($F$10&amp;$A83,PAB_CTB_Database!$B:$L,11,FALSE)=0,"",VLOOKUP($F$10&amp;$A83,PAB_CTB_Database!$B:$L,11,FALSE))))</f>
        <v/>
      </c>
      <c r="I83" s="144" t="str">
        <f>IF($F$10=" &lt;&lt;&lt; Select Index &gt;&gt;&gt;","",IF(F83="","",IF(VLOOKUP($F$10&amp;$A83,PAB_CTB_Database!$B:$M,12,FALSE)=0,"",VLOOKUP($F$10&amp;$A83,PAB_CTB_Database!$B:$M,12,FALSE))))</f>
        <v/>
      </c>
      <c r="J83" s="145" t="str">
        <f>IF($F$10=" &lt;&lt;&lt; Select Index &gt;&gt;&gt;","",IF(VLOOKUP($F$10&amp;$A83,PAB_CTB_Database!$B:$N,13,FALSE)=0,"",VLOOKUP($F$10&amp;$A83,PAB_CTB_Database!$B:$N,13,FALSE)))</f>
        <v/>
      </c>
      <c r="K83" s="105" t="str">
        <f t="shared" si="0"/>
        <v/>
      </c>
      <c r="L83" s="115" t="str">
        <f t="shared" si="1"/>
        <v/>
      </c>
      <c r="M83" s="148" t="str">
        <f t="shared" si="2"/>
        <v/>
      </c>
      <c r="N83" s="115" t="str">
        <f t="shared" si="3"/>
        <v/>
      </c>
      <c r="O83" s="124" t="str">
        <f t="shared" si="4"/>
        <v/>
      </c>
      <c r="P83" s="110"/>
      <c r="Q83" s="118" t="str">
        <f>IF($F$10=" &lt;&lt;&lt; Select Index &gt;&gt;&gt;","",IF(D83="","",IF(VLOOKUP($F$10&amp;$A83,PAB_CTB_Database!$B:$O,14,FALSE)=0,"",VLOOKUP($F$10&amp;$A83,PAB_CTB_Database!$B:$O,14,FALSE))))</f>
        <v/>
      </c>
      <c r="R83" s="119" t="str">
        <f t="shared" si="5"/>
        <v/>
      </c>
      <c r="S83" s="15"/>
      <c r="V83" s="70"/>
    </row>
    <row r="84" spans="1:22" x14ac:dyDescent="0.3">
      <c r="A84" s="84">
        <v>57</v>
      </c>
      <c r="B84" s="46"/>
      <c r="C84" s="88">
        <f>IF($F$10=" &lt;&lt;&lt; Select Index &gt;&gt;&gt;","",VLOOKUP(_xlfn.CONCAT($F$10,A84),PAB_CTB_Database!B:H,7,FALSE))</f>
        <v>46387</v>
      </c>
      <c r="D84" s="404" t="str">
        <f>IF($F$10=" &lt;&lt;&lt; Select Index &gt;&gt;&gt;","",IF(VLOOKUP($F$10&amp;$A84,PAB_CTB_Database!$B:$I,8,FALSE)=0,"",VLOOKUP($F$10&amp;$A84,PAB_CTB_Database!$B:$I,8,FALSE)))</f>
        <v/>
      </c>
      <c r="E84" s="405"/>
      <c r="F84" s="142" t="str">
        <f>IF($F$10=" &lt;&lt;&lt; Select Index &gt;&gt;&gt;","",IF(VLOOKUP($F$10&amp;$A84,PAB_CTB_Database!$B:$J,9,FALSE)=0,"",VLOOKUP($F$10&amp;$A84,PAB_CTB_Database!$B:$J,9,FALSE)))</f>
        <v/>
      </c>
      <c r="G84" s="142">
        <f>IF($F$10=" &lt;&lt;&lt; Select Index &gt;&gt;&gt;","",IF(VLOOKUP($F$10&amp;$A84,PAB_CTB_Database!$B:$K,10,FALSE)=0,"",VLOOKUP($F$10&amp;$A84,PAB_CTB_Database!$B:$K,10,FALSE)))</f>
        <v>13747594.153600596</v>
      </c>
      <c r="H84" s="143" t="str">
        <f>IF($F$10=" &lt;&lt;&lt; Select Index &gt;&gt;&gt;","",IF(F84="","",IF(VLOOKUP($F$10&amp;$A84,PAB_CTB_Database!$B:$L,11,FALSE)=0,"",VLOOKUP($F$10&amp;$A84,PAB_CTB_Database!$B:$L,11,FALSE))))</f>
        <v/>
      </c>
      <c r="I84" s="144" t="str">
        <f>IF($F$10=" &lt;&lt;&lt; Select Index &gt;&gt;&gt;","",IF(F84="","",IF(VLOOKUP($F$10&amp;$A84,PAB_CTB_Database!$B:$M,12,FALSE)=0,"",VLOOKUP($F$10&amp;$A84,PAB_CTB_Database!$B:$M,12,FALSE))))</f>
        <v/>
      </c>
      <c r="J84" s="145" t="str">
        <f>IF($F$10=" &lt;&lt;&lt; Select Index &gt;&gt;&gt;","",IF(VLOOKUP($F$10&amp;$A84,PAB_CTB_Database!$B:$N,13,FALSE)=0,"",VLOOKUP($F$10&amp;$A84,PAB_CTB_Database!$B:$N,13,FALSE)))</f>
        <v/>
      </c>
      <c r="K84" s="105" t="str">
        <f t="shared" si="0"/>
        <v/>
      </c>
      <c r="L84" s="115" t="str">
        <f t="shared" si="1"/>
        <v/>
      </c>
      <c r="M84" s="148" t="str">
        <f t="shared" si="2"/>
        <v/>
      </c>
      <c r="N84" s="115" t="str">
        <f t="shared" si="3"/>
        <v/>
      </c>
      <c r="O84" s="124" t="str">
        <f t="shared" si="4"/>
        <v/>
      </c>
      <c r="P84" s="110"/>
      <c r="Q84" s="118" t="str">
        <f>IF($F$10=" &lt;&lt;&lt; Select Index &gt;&gt;&gt;","",IF(D84="","",IF(VLOOKUP($F$10&amp;$A84,PAB_CTB_Database!$B:$O,14,FALSE)=0,"",VLOOKUP($F$10&amp;$A84,PAB_CTB_Database!$B:$O,14,FALSE))))</f>
        <v/>
      </c>
      <c r="R84" s="119" t="str">
        <f t="shared" si="5"/>
        <v/>
      </c>
      <c r="S84" s="15"/>
      <c r="V84" s="70"/>
    </row>
    <row r="85" spans="1:22" x14ac:dyDescent="0.3">
      <c r="A85" s="84">
        <v>58</v>
      </c>
      <c r="B85" s="46"/>
      <c r="C85" s="88">
        <f>IF($F$10=" &lt;&lt;&lt; Select Index &gt;&gt;&gt;","",VLOOKUP(_xlfn.CONCAT($F$10,A85),PAB_CTB_Database!B:H,7,FALSE))</f>
        <v>46418</v>
      </c>
      <c r="D85" s="404" t="str">
        <f>IF($F$10=" &lt;&lt;&lt; Select Index &gt;&gt;&gt;","",IF(VLOOKUP($F$10&amp;$A85,PAB_CTB_Database!$B:$I,8,FALSE)=0,"",VLOOKUP($F$10&amp;$A85,PAB_CTB_Database!$B:$I,8,FALSE)))</f>
        <v/>
      </c>
      <c r="E85" s="405"/>
      <c r="F85" s="142" t="str">
        <f>IF($F$10=" &lt;&lt;&lt; Select Index &gt;&gt;&gt;","",IF(VLOOKUP($F$10&amp;$A85,PAB_CTB_Database!$B:$J,9,FALSE)=0,"",VLOOKUP($F$10&amp;$A85,PAB_CTB_Database!$B:$J,9,FALSE)))</f>
        <v/>
      </c>
      <c r="G85" s="142">
        <f>IF($F$10=" &lt;&lt;&lt; Select Index &gt;&gt;&gt;","",IF(VLOOKUP($F$10&amp;$A85,PAB_CTB_Database!$B:$K,10,FALSE)=0,"",VLOOKUP($F$10&amp;$A85,PAB_CTB_Database!$B:$K,10,FALSE)))</f>
        <v>13664705.673280453</v>
      </c>
      <c r="H85" s="143" t="str">
        <f>IF($F$10=" &lt;&lt;&lt; Select Index &gt;&gt;&gt;","",IF(F85="","",IF(VLOOKUP($F$10&amp;$A85,PAB_CTB_Database!$B:$L,11,FALSE)=0,"",VLOOKUP($F$10&amp;$A85,PAB_CTB_Database!$B:$L,11,FALSE))))</f>
        <v/>
      </c>
      <c r="I85" s="144" t="str">
        <f>IF($F$10=" &lt;&lt;&lt; Select Index &gt;&gt;&gt;","",IF(F85="","",IF(VLOOKUP($F$10&amp;$A85,PAB_CTB_Database!$B:$M,12,FALSE)=0,"",VLOOKUP($F$10&amp;$A85,PAB_CTB_Database!$B:$M,12,FALSE))))</f>
        <v/>
      </c>
      <c r="J85" s="145" t="str">
        <f>IF($F$10=" &lt;&lt;&lt; Select Index &gt;&gt;&gt;","",IF(VLOOKUP($F$10&amp;$A85,PAB_CTB_Database!$B:$N,13,FALSE)=0,"",VLOOKUP($F$10&amp;$A85,PAB_CTB_Database!$B:$N,13,FALSE)))</f>
        <v/>
      </c>
      <c r="K85" s="105" t="str">
        <f t="shared" si="0"/>
        <v/>
      </c>
      <c r="L85" s="115" t="str">
        <f t="shared" si="1"/>
        <v/>
      </c>
      <c r="M85" s="148" t="str">
        <f t="shared" si="2"/>
        <v/>
      </c>
      <c r="N85" s="115" t="str">
        <f t="shared" si="3"/>
        <v/>
      </c>
      <c r="O85" s="124" t="str">
        <f t="shared" si="4"/>
        <v/>
      </c>
      <c r="P85" s="110"/>
      <c r="Q85" s="118" t="str">
        <f>IF($F$10=" &lt;&lt;&lt; Select Index &gt;&gt;&gt;","",IF(D85="","",IF(VLOOKUP($F$10&amp;$A85,PAB_CTB_Database!$B:$O,14,FALSE)=0,"",VLOOKUP($F$10&amp;$A85,PAB_CTB_Database!$B:$O,14,FALSE))))</f>
        <v/>
      </c>
      <c r="R85" s="119" t="str">
        <f t="shared" si="5"/>
        <v/>
      </c>
      <c r="S85" s="15"/>
      <c r="V85" s="70"/>
    </row>
    <row r="86" spans="1:22" x14ac:dyDescent="0.3">
      <c r="A86" s="84">
        <v>59</v>
      </c>
      <c r="B86" s="46"/>
      <c r="C86" s="88">
        <f>IF($F$10=" &lt;&lt;&lt; Select Index &gt;&gt;&gt;","",VLOOKUP(_xlfn.CONCAT($F$10,A86),PAB_CTB_Database!B:H,7,FALSE))</f>
        <v>46446</v>
      </c>
      <c r="D86" s="404" t="str">
        <f>IF($F$10=" &lt;&lt;&lt; Select Index &gt;&gt;&gt;","",IF(VLOOKUP($F$10&amp;$A86,PAB_CTB_Database!$B:$I,8,FALSE)=0,"",VLOOKUP($F$10&amp;$A86,PAB_CTB_Database!$B:$I,8,FALSE)))</f>
        <v/>
      </c>
      <c r="E86" s="405"/>
      <c r="F86" s="142" t="str">
        <f>IF($F$10=" &lt;&lt;&lt; Select Index &gt;&gt;&gt;","",IF(VLOOKUP($F$10&amp;$A86,PAB_CTB_Database!$B:$J,9,FALSE)=0,"",VLOOKUP($F$10&amp;$A86,PAB_CTB_Database!$B:$J,9,FALSE)))</f>
        <v/>
      </c>
      <c r="G86" s="142">
        <f>IF($F$10=" &lt;&lt;&lt; Select Index &gt;&gt;&gt;","",IF(VLOOKUP($F$10&amp;$A86,PAB_CTB_Database!$B:$K,10,FALSE)=0,"",VLOOKUP($F$10&amp;$A86,PAB_CTB_Database!$B:$K,10,FALSE)))</f>
        <v>13582316.953143291</v>
      </c>
      <c r="H86" s="143" t="str">
        <f>IF($F$10=" &lt;&lt;&lt; Select Index &gt;&gt;&gt;","",IF(F86="","",IF(VLOOKUP($F$10&amp;$A86,PAB_CTB_Database!$B:$L,11,FALSE)=0,"",VLOOKUP($F$10&amp;$A86,PAB_CTB_Database!$B:$L,11,FALSE))))</f>
        <v/>
      </c>
      <c r="I86" s="144" t="str">
        <f>IF($F$10=" &lt;&lt;&lt; Select Index &gt;&gt;&gt;","",IF(F86="","",IF(VLOOKUP($F$10&amp;$A86,PAB_CTB_Database!$B:$M,12,FALSE)=0,"",VLOOKUP($F$10&amp;$A86,PAB_CTB_Database!$B:$M,12,FALSE))))</f>
        <v/>
      </c>
      <c r="J86" s="145" t="str">
        <f>IF($F$10=" &lt;&lt;&lt; Select Index &gt;&gt;&gt;","",IF(VLOOKUP($F$10&amp;$A86,PAB_CTB_Database!$B:$N,13,FALSE)=0,"",VLOOKUP($F$10&amp;$A86,PAB_CTB_Database!$B:$N,13,FALSE)))</f>
        <v/>
      </c>
      <c r="K86" s="105" t="str">
        <f t="shared" si="0"/>
        <v/>
      </c>
      <c r="L86" s="115" t="str">
        <f t="shared" si="1"/>
        <v/>
      </c>
      <c r="M86" s="148" t="str">
        <f t="shared" si="2"/>
        <v/>
      </c>
      <c r="N86" s="115" t="str">
        <f t="shared" si="3"/>
        <v/>
      </c>
      <c r="O86" s="124" t="str">
        <f t="shared" si="4"/>
        <v/>
      </c>
      <c r="P86" s="110"/>
      <c r="Q86" s="118" t="str">
        <f>IF($F$10=" &lt;&lt;&lt; Select Index &gt;&gt;&gt;","",IF(D86="","",IF(VLOOKUP($F$10&amp;$A86,PAB_CTB_Database!$B:$O,14,FALSE)=0,"",VLOOKUP($F$10&amp;$A86,PAB_CTB_Database!$B:$O,14,FALSE))))</f>
        <v/>
      </c>
      <c r="R86" s="119" t="str">
        <f t="shared" si="5"/>
        <v/>
      </c>
      <c r="S86" s="15"/>
      <c r="V86" s="70"/>
    </row>
    <row r="87" spans="1:22" x14ac:dyDescent="0.3">
      <c r="A87" s="84">
        <v>60</v>
      </c>
      <c r="B87" s="46"/>
      <c r="C87" s="88">
        <f>IF($F$10=" &lt;&lt;&lt; Select Index &gt;&gt;&gt;","",VLOOKUP(_xlfn.CONCAT($F$10,A87),PAB_CTB_Database!B:H,7,FALSE))</f>
        <v>46477</v>
      </c>
      <c r="D87" s="404" t="str">
        <f>IF($F$10=" &lt;&lt;&lt; Select Index &gt;&gt;&gt;","",IF(VLOOKUP($F$10&amp;$A87,PAB_CTB_Database!$B:$I,8,FALSE)=0,"",VLOOKUP($F$10&amp;$A87,PAB_CTB_Database!$B:$I,8,FALSE)))</f>
        <v/>
      </c>
      <c r="E87" s="405"/>
      <c r="F87" s="142" t="str">
        <f>IF($F$10=" &lt;&lt;&lt; Select Index &gt;&gt;&gt;","",IF(VLOOKUP($F$10&amp;$A87,PAB_CTB_Database!$B:$J,9,FALSE)=0,"",VLOOKUP($F$10&amp;$A87,PAB_CTB_Database!$B:$J,9,FALSE)))</f>
        <v/>
      </c>
      <c r="G87" s="142">
        <f>IF($F$10=" &lt;&lt;&lt; Select Index &gt;&gt;&gt;","",IF(VLOOKUP($F$10&amp;$A87,PAB_CTB_Database!$B:$K,10,FALSE)=0,"",VLOOKUP($F$10&amp;$A87,PAB_CTB_Database!$B:$K,10,FALSE)))</f>
        <v>13500424.979981015</v>
      </c>
      <c r="H87" s="143" t="str">
        <f>IF($F$10=" &lt;&lt;&lt; Select Index &gt;&gt;&gt;","",IF(F87="","",IF(VLOOKUP($F$10&amp;$A87,PAB_CTB_Database!$B:$L,11,FALSE)=0,"",VLOOKUP($F$10&amp;$A87,PAB_CTB_Database!$B:$L,11,FALSE))))</f>
        <v/>
      </c>
      <c r="I87" s="144" t="str">
        <f>IF($F$10=" &lt;&lt;&lt; Select Index &gt;&gt;&gt;","",IF(F87="","",IF(VLOOKUP($F$10&amp;$A87,PAB_CTB_Database!$B:$M,12,FALSE)=0,"",VLOOKUP($F$10&amp;$A87,PAB_CTB_Database!$B:$M,12,FALSE))))</f>
        <v/>
      </c>
      <c r="J87" s="145" t="str">
        <f>IF($F$10=" &lt;&lt;&lt; Select Index &gt;&gt;&gt;","",IF(VLOOKUP($F$10&amp;$A87,PAB_CTB_Database!$B:$N,13,FALSE)=0,"",VLOOKUP($F$10&amp;$A87,PAB_CTB_Database!$B:$N,13,FALSE)))</f>
        <v/>
      </c>
      <c r="K87" s="105" t="str">
        <f t="shared" si="0"/>
        <v/>
      </c>
      <c r="L87" s="115" t="str">
        <f t="shared" si="1"/>
        <v/>
      </c>
      <c r="M87" s="148" t="str">
        <f t="shared" si="2"/>
        <v/>
      </c>
      <c r="N87" s="115" t="str">
        <f t="shared" si="3"/>
        <v/>
      </c>
      <c r="O87" s="124" t="str">
        <f t="shared" si="4"/>
        <v/>
      </c>
      <c r="P87" s="110"/>
      <c r="Q87" s="118" t="str">
        <f>IF($F$10=" &lt;&lt;&lt; Select Index &gt;&gt;&gt;","",IF(D87="","",IF(VLOOKUP($F$10&amp;$A87,PAB_CTB_Database!$B:$O,14,FALSE)=0,"",VLOOKUP($F$10&amp;$A87,PAB_CTB_Database!$B:$O,14,FALSE))))</f>
        <v/>
      </c>
      <c r="R87" s="119" t="str">
        <f t="shared" si="5"/>
        <v/>
      </c>
      <c r="S87" s="15"/>
      <c r="V87" s="70"/>
    </row>
    <row r="88" spans="1:22" x14ac:dyDescent="0.3">
      <c r="A88" s="84">
        <v>61</v>
      </c>
      <c r="B88" s="46"/>
      <c r="C88" s="88">
        <f>IF($F$10=" &lt;&lt;&lt; Select Index &gt;&gt;&gt;","",VLOOKUP(_xlfn.CONCAT($F$10,A88),PAB_CTB_Database!B:H,7,FALSE))</f>
        <v>46507</v>
      </c>
      <c r="D88" s="404" t="str">
        <f>IF($F$10=" &lt;&lt;&lt; Select Index &gt;&gt;&gt;","",IF(VLOOKUP($F$10&amp;$A88,PAB_CTB_Database!$B:$I,8,FALSE)=0,"",VLOOKUP($F$10&amp;$A88,PAB_CTB_Database!$B:$I,8,FALSE)))</f>
        <v/>
      </c>
      <c r="E88" s="405"/>
      <c r="F88" s="142" t="str">
        <f>IF($F$10=" &lt;&lt;&lt; Select Index &gt;&gt;&gt;","",IF(VLOOKUP($F$10&amp;$A88,PAB_CTB_Database!$B:$J,9,FALSE)=0,"",VLOOKUP($F$10&amp;$A88,PAB_CTB_Database!$B:$J,9,FALSE)))</f>
        <v/>
      </c>
      <c r="G88" s="142">
        <f>IF($F$10=" &lt;&lt;&lt; Select Index &gt;&gt;&gt;","",IF(VLOOKUP($F$10&amp;$A88,PAB_CTB_Database!$B:$K,10,FALSE)=0,"",VLOOKUP($F$10&amp;$A88,PAB_CTB_Database!$B:$K,10,FALSE)))</f>
        <v>13419026.758753072</v>
      </c>
      <c r="H88" s="143" t="str">
        <f>IF($F$10=" &lt;&lt;&lt; Select Index &gt;&gt;&gt;","",IF(F88="","",IF(VLOOKUP($F$10&amp;$A88,PAB_CTB_Database!$B:$L,11,FALSE)=0,"",VLOOKUP($F$10&amp;$A88,PAB_CTB_Database!$B:$L,11,FALSE))))</f>
        <v/>
      </c>
      <c r="I88" s="144" t="str">
        <f>IF($F$10=" &lt;&lt;&lt; Select Index &gt;&gt;&gt;","",IF(F88="","",IF(VLOOKUP($F$10&amp;$A88,PAB_CTB_Database!$B:$M,12,FALSE)=0,"",VLOOKUP($F$10&amp;$A88,PAB_CTB_Database!$B:$M,12,FALSE))))</f>
        <v/>
      </c>
      <c r="J88" s="145" t="str">
        <f>IF($F$10=" &lt;&lt;&lt; Select Index &gt;&gt;&gt;","",IF(VLOOKUP($F$10&amp;$A88,PAB_CTB_Database!$B:$N,13,FALSE)=0,"",VLOOKUP($F$10&amp;$A88,PAB_CTB_Database!$B:$N,13,FALSE)))</f>
        <v/>
      </c>
      <c r="K88" s="105" t="str">
        <f t="shared" si="0"/>
        <v/>
      </c>
      <c r="L88" s="115" t="str">
        <f t="shared" si="1"/>
        <v/>
      </c>
      <c r="M88" s="148" t="str">
        <f t="shared" si="2"/>
        <v/>
      </c>
      <c r="N88" s="115" t="str">
        <f t="shared" si="3"/>
        <v/>
      </c>
      <c r="O88" s="124" t="str">
        <f t="shared" si="4"/>
        <v/>
      </c>
      <c r="P88" s="110"/>
      <c r="Q88" s="118" t="str">
        <f>IF($F$10=" &lt;&lt;&lt; Select Index &gt;&gt;&gt;","",IF(D88="","",IF(VLOOKUP($F$10&amp;$A88,PAB_CTB_Database!$B:$O,14,FALSE)=0,"",VLOOKUP($F$10&amp;$A88,PAB_CTB_Database!$B:$O,14,FALSE))))</f>
        <v/>
      </c>
      <c r="R88" s="119" t="str">
        <f t="shared" si="5"/>
        <v/>
      </c>
      <c r="S88" s="15"/>
      <c r="V88" s="70"/>
    </row>
    <row r="89" spans="1:22" x14ac:dyDescent="0.3">
      <c r="A89" s="84">
        <v>62</v>
      </c>
      <c r="B89" s="46"/>
      <c r="C89" s="88">
        <f>IF($F$10=" &lt;&lt;&lt; Select Index &gt;&gt;&gt;","",VLOOKUP(_xlfn.CONCAT($F$10,A89),PAB_CTB_Database!B:H,7,FALSE))</f>
        <v>46538</v>
      </c>
      <c r="D89" s="404" t="str">
        <f>IF($F$10=" &lt;&lt;&lt; Select Index &gt;&gt;&gt;","",IF(VLOOKUP($F$10&amp;$A89,PAB_CTB_Database!$B:$I,8,FALSE)=0,"",VLOOKUP($F$10&amp;$A89,PAB_CTB_Database!$B:$I,8,FALSE)))</f>
        <v/>
      </c>
      <c r="E89" s="405"/>
      <c r="F89" s="142" t="str">
        <f>IF($F$10=" &lt;&lt;&lt; Select Index &gt;&gt;&gt;","",IF(VLOOKUP($F$10&amp;$A89,PAB_CTB_Database!$B:$J,9,FALSE)=0,"",VLOOKUP($F$10&amp;$A89,PAB_CTB_Database!$B:$J,9,FALSE)))</f>
        <v/>
      </c>
      <c r="G89" s="142">
        <f>IF($F$10=" &lt;&lt;&lt; Select Index &gt;&gt;&gt;","",IF(VLOOKUP($F$10&amp;$A89,PAB_CTB_Database!$B:$K,10,FALSE)=0,"",VLOOKUP($F$10&amp;$A89,PAB_CTB_Database!$B:$K,10,FALSE)))</f>
        <v>13338119.31247695</v>
      </c>
      <c r="H89" s="143" t="str">
        <f>IF($F$10=" &lt;&lt;&lt; Select Index &gt;&gt;&gt;","",IF(F89="","",IF(VLOOKUP($F$10&amp;$A89,PAB_CTB_Database!$B:$L,11,FALSE)=0,"",VLOOKUP($F$10&amp;$A89,PAB_CTB_Database!$B:$L,11,FALSE))))</f>
        <v/>
      </c>
      <c r="I89" s="144" t="str">
        <f>IF($F$10=" &lt;&lt;&lt; Select Index &gt;&gt;&gt;","",IF(F89="","",IF(VLOOKUP($F$10&amp;$A89,PAB_CTB_Database!$B:$M,12,FALSE)=0,"",VLOOKUP($F$10&amp;$A89,PAB_CTB_Database!$B:$M,12,FALSE))))</f>
        <v/>
      </c>
      <c r="J89" s="145" t="str">
        <f>IF($F$10=" &lt;&lt;&lt; Select Index &gt;&gt;&gt;","",IF(VLOOKUP($F$10&amp;$A89,PAB_CTB_Database!$B:$N,13,FALSE)=0,"",VLOOKUP($F$10&amp;$A89,PAB_CTB_Database!$B:$N,13,FALSE)))</f>
        <v/>
      </c>
      <c r="K89" s="105" t="str">
        <f t="shared" si="0"/>
        <v/>
      </c>
      <c r="L89" s="115" t="str">
        <f t="shared" si="1"/>
        <v/>
      </c>
      <c r="M89" s="148" t="str">
        <f t="shared" si="2"/>
        <v/>
      </c>
      <c r="N89" s="115" t="str">
        <f t="shared" si="3"/>
        <v/>
      </c>
      <c r="O89" s="124" t="str">
        <f t="shared" si="4"/>
        <v/>
      </c>
      <c r="P89" s="110"/>
      <c r="Q89" s="118" t="str">
        <f>IF($F$10=" &lt;&lt;&lt; Select Index &gt;&gt;&gt;","",IF(D89="","",IF(VLOOKUP($F$10&amp;$A89,PAB_CTB_Database!$B:$O,14,FALSE)=0,"",VLOOKUP($F$10&amp;$A89,PAB_CTB_Database!$B:$O,14,FALSE))))</f>
        <v/>
      </c>
      <c r="R89" s="119" t="str">
        <f t="shared" si="5"/>
        <v/>
      </c>
      <c r="S89" s="15"/>
      <c r="V89" s="70"/>
    </row>
    <row r="90" spans="1:22" x14ac:dyDescent="0.3">
      <c r="A90" s="84">
        <v>63</v>
      </c>
      <c r="B90" s="46"/>
      <c r="C90" s="88">
        <f>IF($F$10=" &lt;&lt;&lt; Select Index &gt;&gt;&gt;","",VLOOKUP(_xlfn.CONCAT($F$10,A90),PAB_CTB_Database!B:H,7,FALSE))</f>
        <v>46568</v>
      </c>
      <c r="D90" s="404" t="str">
        <f>IF($F$10=" &lt;&lt;&lt; Select Index &gt;&gt;&gt;","",IF(VLOOKUP($F$10&amp;$A90,PAB_CTB_Database!$B:$I,8,FALSE)=0,"",VLOOKUP($F$10&amp;$A90,PAB_CTB_Database!$B:$I,8,FALSE)))</f>
        <v/>
      </c>
      <c r="E90" s="405"/>
      <c r="F90" s="142" t="str">
        <f>IF($F$10=" &lt;&lt;&lt; Select Index &gt;&gt;&gt;","",IF(VLOOKUP($F$10&amp;$A90,PAB_CTB_Database!$B:$J,9,FALSE)=0,"",VLOOKUP($F$10&amp;$A90,PAB_CTB_Database!$B:$J,9,FALSE)))</f>
        <v/>
      </c>
      <c r="G90" s="142">
        <f>IF($F$10=" &lt;&lt;&lt; Select Index &gt;&gt;&gt;","",IF(VLOOKUP($F$10&amp;$A90,PAB_CTB_Database!$B:$K,10,FALSE)=0,"",VLOOKUP($F$10&amp;$A90,PAB_CTB_Database!$B:$K,10,FALSE)))</f>
        <v>13257699.682119269</v>
      </c>
      <c r="H90" s="143" t="str">
        <f>IF($F$10=" &lt;&lt;&lt; Select Index &gt;&gt;&gt;","",IF(F90="","",IF(VLOOKUP($F$10&amp;$A90,PAB_CTB_Database!$B:$L,11,FALSE)=0,"",VLOOKUP($F$10&amp;$A90,PAB_CTB_Database!$B:$L,11,FALSE))))</f>
        <v/>
      </c>
      <c r="I90" s="144" t="str">
        <f>IF($F$10=" &lt;&lt;&lt; Select Index &gt;&gt;&gt;","",IF(F90="","",IF(VLOOKUP($F$10&amp;$A90,PAB_CTB_Database!$B:$M,12,FALSE)=0,"",VLOOKUP($F$10&amp;$A90,PAB_CTB_Database!$B:$M,12,FALSE))))</f>
        <v/>
      </c>
      <c r="J90" s="145" t="str">
        <f>IF($F$10=" &lt;&lt;&lt; Select Index &gt;&gt;&gt;","",IF(VLOOKUP($F$10&amp;$A90,PAB_CTB_Database!$B:$N,13,FALSE)=0,"",VLOOKUP($F$10&amp;$A90,PAB_CTB_Database!$B:$N,13,FALSE)))</f>
        <v/>
      </c>
      <c r="K90" s="105" t="str">
        <f t="shared" si="0"/>
        <v/>
      </c>
      <c r="L90" s="115" t="str">
        <f t="shared" si="1"/>
        <v/>
      </c>
      <c r="M90" s="148" t="str">
        <f t="shared" si="2"/>
        <v/>
      </c>
      <c r="N90" s="115" t="str">
        <f t="shared" si="3"/>
        <v/>
      </c>
      <c r="O90" s="124" t="str">
        <f t="shared" si="4"/>
        <v/>
      </c>
      <c r="P90" s="110"/>
      <c r="Q90" s="118" t="str">
        <f>IF($F$10=" &lt;&lt;&lt; Select Index &gt;&gt;&gt;","",IF(D90="","",IF(VLOOKUP($F$10&amp;$A90,PAB_CTB_Database!$B:$O,14,FALSE)=0,"",VLOOKUP($F$10&amp;$A90,PAB_CTB_Database!$B:$O,14,FALSE))))</f>
        <v/>
      </c>
      <c r="R90" s="119" t="str">
        <f t="shared" si="5"/>
        <v/>
      </c>
      <c r="S90" s="15"/>
      <c r="V90" s="70"/>
    </row>
    <row r="91" spans="1:22" x14ac:dyDescent="0.3">
      <c r="A91" s="84">
        <v>64</v>
      </c>
      <c r="B91" s="46"/>
      <c r="C91" s="88">
        <f>IF($F$10=" &lt;&lt;&lt; Select Index &gt;&gt;&gt;","",VLOOKUP(_xlfn.CONCAT($F$10,A91),PAB_CTB_Database!B:H,7,FALSE))</f>
        <v>46599</v>
      </c>
      <c r="D91" s="404" t="str">
        <f>IF($F$10=" &lt;&lt;&lt; Select Index &gt;&gt;&gt;","",IF(VLOOKUP($F$10&amp;$A91,PAB_CTB_Database!$B:$I,8,FALSE)=0,"",VLOOKUP($F$10&amp;$A91,PAB_CTB_Database!$B:$I,8,FALSE)))</f>
        <v/>
      </c>
      <c r="E91" s="405"/>
      <c r="F91" s="142" t="str">
        <f>IF($F$10=" &lt;&lt;&lt; Select Index &gt;&gt;&gt;","",IF(VLOOKUP($F$10&amp;$A91,PAB_CTB_Database!$B:$J,9,FALSE)=0,"",VLOOKUP($F$10&amp;$A91,PAB_CTB_Database!$B:$J,9,FALSE)))</f>
        <v/>
      </c>
      <c r="G91" s="142">
        <f>IF($F$10=" &lt;&lt;&lt; Select Index &gt;&gt;&gt;","",IF(VLOOKUP($F$10&amp;$A91,PAB_CTB_Database!$B:$K,10,FALSE)=0,"",VLOOKUP($F$10&amp;$A91,PAB_CTB_Database!$B:$K,10,FALSE)))</f>
        <v>13177764.92648758</v>
      </c>
      <c r="H91" s="143" t="str">
        <f>IF($F$10=" &lt;&lt;&lt; Select Index &gt;&gt;&gt;","",IF(F91="","",IF(VLOOKUP($F$10&amp;$A91,PAB_CTB_Database!$B:$L,11,FALSE)=0,"",VLOOKUP($F$10&amp;$A91,PAB_CTB_Database!$B:$L,11,FALSE))))</f>
        <v/>
      </c>
      <c r="I91" s="144" t="str">
        <f>IF($F$10=" &lt;&lt;&lt; Select Index &gt;&gt;&gt;","",IF(F91="","",IF(VLOOKUP($F$10&amp;$A91,PAB_CTB_Database!$B:$M,12,FALSE)=0,"",VLOOKUP($F$10&amp;$A91,PAB_CTB_Database!$B:$M,12,FALSE))))</f>
        <v/>
      </c>
      <c r="J91" s="145" t="str">
        <f>IF($F$10=" &lt;&lt;&lt; Select Index &gt;&gt;&gt;","",IF(VLOOKUP($F$10&amp;$A91,PAB_CTB_Database!$B:$N,13,FALSE)=0,"",VLOOKUP($F$10&amp;$A91,PAB_CTB_Database!$B:$N,13,FALSE)))</f>
        <v/>
      </c>
      <c r="K91" s="105" t="str">
        <f t="shared" si="0"/>
        <v/>
      </c>
      <c r="L91" s="115" t="str">
        <f t="shared" si="1"/>
        <v/>
      </c>
      <c r="M91" s="148" t="str">
        <f t="shared" si="2"/>
        <v/>
      </c>
      <c r="N91" s="115" t="str">
        <f t="shared" si="3"/>
        <v/>
      </c>
      <c r="O91" s="124" t="str">
        <f t="shared" si="4"/>
        <v/>
      </c>
      <c r="P91" s="110"/>
      <c r="Q91" s="118" t="str">
        <f>IF($F$10=" &lt;&lt;&lt; Select Index &gt;&gt;&gt;","",IF(D91="","",IF(VLOOKUP($F$10&amp;$A91,PAB_CTB_Database!$B:$O,14,FALSE)=0,"",VLOOKUP($F$10&amp;$A91,PAB_CTB_Database!$B:$O,14,FALSE))))</f>
        <v/>
      </c>
      <c r="R91" s="119" t="str">
        <f t="shared" si="5"/>
        <v/>
      </c>
      <c r="S91" s="15"/>
      <c r="V91" s="70"/>
    </row>
    <row r="92" spans="1:22" x14ac:dyDescent="0.3">
      <c r="A92" s="84">
        <v>65</v>
      </c>
      <c r="B92" s="46"/>
      <c r="C92" s="88">
        <f>IF($F$10=" &lt;&lt;&lt; Select Index &gt;&gt;&gt;","",VLOOKUP(_xlfn.CONCAT($F$10,A92),PAB_CTB_Database!B:H,7,FALSE))</f>
        <v>46630</v>
      </c>
      <c r="D92" s="404" t="str">
        <f>IF($F$10=" &lt;&lt;&lt; Select Index &gt;&gt;&gt;","",IF(VLOOKUP($F$10&amp;$A92,PAB_CTB_Database!$B:$I,8,FALSE)=0,"",VLOOKUP($F$10&amp;$A92,PAB_CTB_Database!$B:$I,8,FALSE)))</f>
        <v/>
      </c>
      <c r="E92" s="405"/>
      <c r="F92" s="142" t="str">
        <f>IF($F$10=" &lt;&lt;&lt; Select Index &gt;&gt;&gt;","",IF(VLOOKUP($F$10&amp;$A92,PAB_CTB_Database!$B:$J,9,FALSE)=0,"",VLOOKUP($F$10&amp;$A92,PAB_CTB_Database!$B:$J,9,FALSE)))</f>
        <v/>
      </c>
      <c r="G92" s="142">
        <f>IF($F$10=" &lt;&lt;&lt; Select Index &gt;&gt;&gt;","",IF(VLOOKUP($F$10&amp;$A92,PAB_CTB_Database!$B:$K,10,FALSE)=0,"",VLOOKUP($F$10&amp;$A92,PAB_CTB_Database!$B:$K,10,FALSE)))</f>
        <v>13098312.122122783</v>
      </c>
      <c r="H92" s="143" t="str">
        <f>IF($F$10=" &lt;&lt;&lt; Select Index &gt;&gt;&gt;","",IF(F92="","",IF(VLOOKUP($F$10&amp;$A92,PAB_CTB_Database!$B:$L,11,FALSE)=0,"",VLOOKUP($F$10&amp;$A92,PAB_CTB_Database!$B:$L,11,FALSE))))</f>
        <v/>
      </c>
      <c r="I92" s="144" t="str">
        <f>IF($F$10=" &lt;&lt;&lt; Select Index &gt;&gt;&gt;","",IF(F92="","",IF(VLOOKUP($F$10&amp;$A92,PAB_CTB_Database!$B:$M,12,FALSE)=0,"",VLOOKUP($F$10&amp;$A92,PAB_CTB_Database!$B:$M,12,FALSE))))</f>
        <v/>
      </c>
      <c r="J92" s="145" t="str">
        <f>IF($F$10=" &lt;&lt;&lt; Select Index &gt;&gt;&gt;","",IF(VLOOKUP($F$10&amp;$A92,PAB_CTB_Database!$B:$N,13,FALSE)=0,"",VLOOKUP($F$10&amp;$A92,PAB_CTB_Database!$B:$N,13,FALSE)))</f>
        <v/>
      </c>
      <c r="K92" s="105" t="str">
        <f t="shared" ref="K92:K146" si="6">IFERROR(J92/D92-1,"")</f>
        <v/>
      </c>
      <c r="L92" s="115" t="str">
        <f t="shared" ref="L92:L146" si="7">IF(K92="","",IF(K92="***","",IF(J92&lt;=H92,"MET","NOT MET")))</f>
        <v/>
      </c>
      <c r="M92" s="148" t="str">
        <f t="shared" ref="M92:M146" si="8">IF(J92="","",IF(J92="***","",J92-H92))</f>
        <v/>
      </c>
      <c r="N92" s="115" t="str">
        <f t="shared" ref="N92:N146" si="9">IF(M92="","",IF(M92&gt;0,"NOT MET","MET"))</f>
        <v/>
      </c>
      <c r="O92" s="124" t="str">
        <f t="shared" ref="O92:O146" si="10">IFERROR(J92/$D$27-1,"")</f>
        <v/>
      </c>
      <c r="P92" s="110"/>
      <c r="Q92" s="118" t="str">
        <f>IF($F$10=" &lt;&lt;&lt; Select Index &gt;&gt;&gt;","",IF(D92="","",IF(VLOOKUP($F$10&amp;$A92,PAB_CTB_Database!$B:$O,14,FALSE)=0,"",VLOOKUP($F$10&amp;$A92,PAB_CTB_Database!$B:$O,14,FALSE))))</f>
        <v/>
      </c>
      <c r="R92" s="119" t="str">
        <f t="shared" ref="R92:R146" si="11">IF(Q92="","",IF(Q92="***","***",1-Q92))</f>
        <v/>
      </c>
      <c r="S92" s="15"/>
      <c r="V92" s="70"/>
    </row>
    <row r="93" spans="1:22" x14ac:dyDescent="0.3">
      <c r="A93" s="84">
        <v>66</v>
      </c>
      <c r="B93" s="46"/>
      <c r="C93" s="88">
        <f>IF($F$10=" &lt;&lt;&lt; Select Index &gt;&gt;&gt;","",VLOOKUP(_xlfn.CONCAT($F$10,A93),PAB_CTB_Database!B:H,7,FALSE))</f>
        <v>46660</v>
      </c>
      <c r="D93" s="404" t="str">
        <f>IF($F$10=" &lt;&lt;&lt; Select Index &gt;&gt;&gt;","",IF(VLOOKUP($F$10&amp;$A93,PAB_CTB_Database!$B:$I,8,FALSE)=0,"",VLOOKUP($F$10&amp;$A93,PAB_CTB_Database!$B:$I,8,FALSE)))</f>
        <v/>
      </c>
      <c r="E93" s="405"/>
      <c r="F93" s="142" t="str">
        <f>IF($F$10=" &lt;&lt;&lt; Select Index &gt;&gt;&gt;","",IF(VLOOKUP($F$10&amp;$A93,PAB_CTB_Database!$B:$J,9,FALSE)=0,"",VLOOKUP($F$10&amp;$A93,PAB_CTB_Database!$B:$J,9,FALSE)))</f>
        <v/>
      </c>
      <c r="G93" s="142">
        <f>IF($F$10=" &lt;&lt;&lt; Select Index &gt;&gt;&gt;","",IF(VLOOKUP($F$10&amp;$A93,PAB_CTB_Database!$B:$K,10,FALSE)=0,"",VLOOKUP($F$10&amp;$A93,PAB_CTB_Database!$B:$K,10,FALSE)))</f>
        <v>13019338.363192219</v>
      </c>
      <c r="H93" s="143" t="str">
        <f>IF($F$10=" &lt;&lt;&lt; Select Index &gt;&gt;&gt;","",IF(F93="","",IF(VLOOKUP($F$10&amp;$A93,PAB_CTB_Database!$B:$L,11,FALSE)=0,"",VLOOKUP($F$10&amp;$A93,PAB_CTB_Database!$B:$L,11,FALSE))))</f>
        <v/>
      </c>
      <c r="I93" s="144" t="str">
        <f>IF($F$10=" &lt;&lt;&lt; Select Index &gt;&gt;&gt;","",IF(F93="","",IF(VLOOKUP($F$10&amp;$A93,PAB_CTB_Database!$B:$M,12,FALSE)=0,"",VLOOKUP($F$10&amp;$A93,PAB_CTB_Database!$B:$M,12,FALSE))))</f>
        <v/>
      </c>
      <c r="J93" s="145" t="str">
        <f>IF($F$10=" &lt;&lt;&lt; Select Index &gt;&gt;&gt;","",IF(VLOOKUP($F$10&amp;$A93,PAB_CTB_Database!$B:$N,13,FALSE)=0,"",VLOOKUP($F$10&amp;$A93,PAB_CTB_Database!$B:$N,13,FALSE)))</f>
        <v/>
      </c>
      <c r="K93" s="105" t="str">
        <f t="shared" si="6"/>
        <v/>
      </c>
      <c r="L93" s="115" t="str">
        <f t="shared" si="7"/>
        <v/>
      </c>
      <c r="M93" s="148" t="str">
        <f t="shared" si="8"/>
        <v/>
      </c>
      <c r="N93" s="115" t="str">
        <f t="shared" si="9"/>
        <v/>
      </c>
      <c r="O93" s="124" t="str">
        <f t="shared" si="10"/>
        <v/>
      </c>
      <c r="P93" s="110"/>
      <c r="Q93" s="118" t="str">
        <f>IF($F$10=" &lt;&lt;&lt; Select Index &gt;&gt;&gt;","",IF(D93="","",IF(VLOOKUP($F$10&amp;$A93,PAB_CTB_Database!$B:$O,14,FALSE)=0,"",VLOOKUP($F$10&amp;$A93,PAB_CTB_Database!$B:$O,14,FALSE))))</f>
        <v/>
      </c>
      <c r="R93" s="119" t="str">
        <f t="shared" si="11"/>
        <v/>
      </c>
      <c r="S93" s="15"/>
      <c r="V93" s="70"/>
    </row>
    <row r="94" spans="1:22" x14ac:dyDescent="0.3">
      <c r="A94" s="84">
        <v>67</v>
      </c>
      <c r="B94" s="46"/>
      <c r="C94" s="88">
        <f>IF($F$10=" &lt;&lt;&lt; Select Index &gt;&gt;&gt;","",VLOOKUP(_xlfn.CONCAT($F$10,A94),PAB_CTB_Database!B:H,7,FALSE))</f>
        <v>46691</v>
      </c>
      <c r="D94" s="404" t="str">
        <f>IF($F$10=" &lt;&lt;&lt; Select Index &gt;&gt;&gt;","",IF(VLOOKUP($F$10&amp;$A94,PAB_CTB_Database!$B:$I,8,FALSE)=0,"",VLOOKUP($F$10&amp;$A94,PAB_CTB_Database!$B:$I,8,FALSE)))</f>
        <v/>
      </c>
      <c r="E94" s="405"/>
      <c r="F94" s="142" t="str">
        <f>IF($F$10=" &lt;&lt;&lt; Select Index &gt;&gt;&gt;","",IF(VLOOKUP($F$10&amp;$A94,PAB_CTB_Database!$B:$J,9,FALSE)=0,"",VLOOKUP($F$10&amp;$A94,PAB_CTB_Database!$B:$J,9,FALSE)))</f>
        <v/>
      </c>
      <c r="G94" s="142">
        <f>IF($F$10=" &lt;&lt;&lt; Select Index &gt;&gt;&gt;","",IF(VLOOKUP($F$10&amp;$A94,PAB_CTB_Database!$B:$K,10,FALSE)=0,"",VLOOKUP($F$10&amp;$A94,PAB_CTB_Database!$B:$K,10,FALSE)))</f>
        <v>12940840.76138339</v>
      </c>
      <c r="H94" s="143" t="str">
        <f>IF($F$10=" &lt;&lt;&lt; Select Index &gt;&gt;&gt;","",IF(F94="","",IF(VLOOKUP($F$10&amp;$A94,PAB_CTB_Database!$B:$L,11,FALSE)=0,"",VLOOKUP($F$10&amp;$A94,PAB_CTB_Database!$B:$L,11,FALSE))))</f>
        <v/>
      </c>
      <c r="I94" s="144" t="str">
        <f>IF($F$10=" &lt;&lt;&lt; Select Index &gt;&gt;&gt;","",IF(F94="","",IF(VLOOKUP($F$10&amp;$A94,PAB_CTB_Database!$B:$M,12,FALSE)=0,"",VLOOKUP($F$10&amp;$A94,PAB_CTB_Database!$B:$M,12,FALSE))))</f>
        <v/>
      </c>
      <c r="J94" s="145" t="str">
        <f>IF($F$10=" &lt;&lt;&lt; Select Index &gt;&gt;&gt;","",IF(VLOOKUP($F$10&amp;$A94,PAB_CTB_Database!$B:$N,13,FALSE)=0,"",VLOOKUP($F$10&amp;$A94,PAB_CTB_Database!$B:$N,13,FALSE)))</f>
        <v/>
      </c>
      <c r="K94" s="105" t="str">
        <f t="shared" si="6"/>
        <v/>
      </c>
      <c r="L94" s="115" t="str">
        <f t="shared" si="7"/>
        <v/>
      </c>
      <c r="M94" s="148" t="str">
        <f t="shared" si="8"/>
        <v/>
      </c>
      <c r="N94" s="115" t="str">
        <f t="shared" si="9"/>
        <v/>
      </c>
      <c r="O94" s="124" t="str">
        <f t="shared" si="10"/>
        <v/>
      </c>
      <c r="P94" s="110"/>
      <c r="Q94" s="118" t="str">
        <f>IF($F$10=" &lt;&lt;&lt; Select Index &gt;&gt;&gt;","",IF(D94="","",IF(VLOOKUP($F$10&amp;$A94,PAB_CTB_Database!$B:$O,14,FALSE)=0,"",VLOOKUP($F$10&amp;$A94,PAB_CTB_Database!$B:$O,14,FALSE))))</f>
        <v/>
      </c>
      <c r="R94" s="119" t="str">
        <f t="shared" si="11"/>
        <v/>
      </c>
      <c r="S94" s="15"/>
      <c r="V94" s="70"/>
    </row>
    <row r="95" spans="1:22" x14ac:dyDescent="0.3">
      <c r="A95" s="84">
        <v>68</v>
      </c>
      <c r="B95" s="46"/>
      <c r="C95" s="88">
        <f>IF($F$10=" &lt;&lt;&lt; Select Index &gt;&gt;&gt;","",VLOOKUP(_xlfn.CONCAT($F$10,A95),PAB_CTB_Database!B:H,7,FALSE))</f>
        <v>46721</v>
      </c>
      <c r="D95" s="404" t="str">
        <f>IF($F$10=" &lt;&lt;&lt; Select Index &gt;&gt;&gt;","",IF(VLOOKUP($F$10&amp;$A95,PAB_CTB_Database!$B:$I,8,FALSE)=0,"",VLOOKUP($F$10&amp;$A95,PAB_CTB_Database!$B:$I,8,FALSE)))</f>
        <v/>
      </c>
      <c r="E95" s="405"/>
      <c r="F95" s="142" t="str">
        <f>IF($F$10=" &lt;&lt;&lt; Select Index &gt;&gt;&gt;","",IF(VLOOKUP($F$10&amp;$A95,PAB_CTB_Database!$B:$J,9,FALSE)=0,"",VLOOKUP($F$10&amp;$A95,PAB_CTB_Database!$B:$J,9,FALSE)))</f>
        <v/>
      </c>
      <c r="G95" s="142">
        <f>IF($F$10=" &lt;&lt;&lt; Select Index &gt;&gt;&gt;","",IF(VLOOKUP($F$10&amp;$A95,PAB_CTB_Database!$B:$K,10,FALSE)=0,"",VLOOKUP($F$10&amp;$A95,PAB_CTB_Database!$B:$K,10,FALSE)))</f>
        <v>12862816.445798317</v>
      </c>
      <c r="H95" s="143" t="str">
        <f>IF($F$10=" &lt;&lt;&lt; Select Index &gt;&gt;&gt;","",IF(F95="","",IF(VLOOKUP($F$10&amp;$A95,PAB_CTB_Database!$B:$L,11,FALSE)=0,"",VLOOKUP($F$10&amp;$A95,PAB_CTB_Database!$B:$L,11,FALSE))))</f>
        <v/>
      </c>
      <c r="I95" s="144" t="str">
        <f>IF($F$10=" &lt;&lt;&lt; Select Index &gt;&gt;&gt;","",IF(F95="","",IF(VLOOKUP($F$10&amp;$A95,PAB_CTB_Database!$B:$M,12,FALSE)=0,"",VLOOKUP($F$10&amp;$A95,PAB_CTB_Database!$B:$M,12,FALSE))))</f>
        <v/>
      </c>
      <c r="J95" s="145" t="str">
        <f>IF($F$10=" &lt;&lt;&lt; Select Index &gt;&gt;&gt;","",IF(VLOOKUP($F$10&amp;$A95,PAB_CTB_Database!$B:$N,13,FALSE)=0,"",VLOOKUP($F$10&amp;$A95,PAB_CTB_Database!$B:$N,13,FALSE)))</f>
        <v/>
      </c>
      <c r="K95" s="105" t="str">
        <f t="shared" si="6"/>
        <v/>
      </c>
      <c r="L95" s="115" t="str">
        <f t="shared" si="7"/>
        <v/>
      </c>
      <c r="M95" s="148" t="str">
        <f t="shared" si="8"/>
        <v/>
      </c>
      <c r="N95" s="115" t="str">
        <f t="shared" si="9"/>
        <v/>
      </c>
      <c r="O95" s="124" t="str">
        <f t="shared" si="10"/>
        <v/>
      </c>
      <c r="P95" s="110"/>
      <c r="Q95" s="118" t="str">
        <f>IF($F$10=" &lt;&lt;&lt; Select Index &gt;&gt;&gt;","",IF(D95="","",IF(VLOOKUP($F$10&amp;$A95,PAB_CTB_Database!$B:$O,14,FALSE)=0,"",VLOOKUP($F$10&amp;$A95,PAB_CTB_Database!$B:$O,14,FALSE))))</f>
        <v/>
      </c>
      <c r="R95" s="119" t="str">
        <f t="shared" si="11"/>
        <v/>
      </c>
      <c r="S95" s="15"/>
      <c r="V95" s="70"/>
    </row>
    <row r="96" spans="1:22" x14ac:dyDescent="0.3">
      <c r="A96" s="84">
        <v>69</v>
      </c>
      <c r="B96" s="46"/>
      <c r="C96" s="88">
        <f>IF($F$10=" &lt;&lt;&lt; Select Index &gt;&gt;&gt;","",VLOOKUP(_xlfn.CONCAT($F$10,A96),PAB_CTB_Database!B:H,7,FALSE))</f>
        <v>46752</v>
      </c>
      <c r="D96" s="404" t="str">
        <f>IF($F$10=" &lt;&lt;&lt; Select Index &gt;&gt;&gt;","",IF(VLOOKUP($F$10&amp;$A96,PAB_CTB_Database!$B:$I,8,FALSE)=0,"",VLOOKUP($F$10&amp;$A96,PAB_CTB_Database!$B:$I,8,FALSE)))</f>
        <v/>
      </c>
      <c r="E96" s="405"/>
      <c r="F96" s="142" t="str">
        <f>IF($F$10=" &lt;&lt;&lt; Select Index &gt;&gt;&gt;","",IF(VLOOKUP($F$10&amp;$A96,PAB_CTB_Database!$B:$J,9,FALSE)=0,"",VLOOKUP($F$10&amp;$A96,PAB_CTB_Database!$B:$J,9,FALSE)))</f>
        <v/>
      </c>
      <c r="G96" s="142">
        <f>IF($F$10=" &lt;&lt;&lt; Select Index &gt;&gt;&gt;","",IF(VLOOKUP($F$10&amp;$A96,PAB_CTB_Database!$B:$K,10,FALSE)=0,"",VLOOKUP($F$10&amp;$A96,PAB_CTB_Database!$B:$K,10,FALSE)))</f>
        <v>12785262.562848555</v>
      </c>
      <c r="H96" s="143" t="str">
        <f>IF($F$10=" &lt;&lt;&lt; Select Index &gt;&gt;&gt;","",IF(F96="","",IF(VLOOKUP($F$10&amp;$A96,PAB_CTB_Database!$B:$L,11,FALSE)=0,"",VLOOKUP($F$10&amp;$A96,PAB_CTB_Database!$B:$L,11,FALSE))))</f>
        <v/>
      </c>
      <c r="I96" s="144" t="str">
        <f>IF($F$10=" &lt;&lt;&lt; Select Index &gt;&gt;&gt;","",IF(F96="","",IF(VLOOKUP($F$10&amp;$A96,PAB_CTB_Database!$B:$M,12,FALSE)=0,"",VLOOKUP($F$10&amp;$A96,PAB_CTB_Database!$B:$M,12,FALSE))))</f>
        <v/>
      </c>
      <c r="J96" s="145" t="str">
        <f>IF($F$10=" &lt;&lt;&lt; Select Index &gt;&gt;&gt;","",IF(VLOOKUP($F$10&amp;$A96,PAB_CTB_Database!$B:$N,13,FALSE)=0,"",VLOOKUP($F$10&amp;$A96,PAB_CTB_Database!$B:$N,13,FALSE)))</f>
        <v/>
      </c>
      <c r="K96" s="105" t="str">
        <f t="shared" si="6"/>
        <v/>
      </c>
      <c r="L96" s="115" t="str">
        <f t="shared" si="7"/>
        <v/>
      </c>
      <c r="M96" s="148" t="str">
        <f t="shared" si="8"/>
        <v/>
      </c>
      <c r="N96" s="115" t="str">
        <f t="shared" si="9"/>
        <v/>
      </c>
      <c r="O96" s="124" t="str">
        <f t="shared" si="10"/>
        <v/>
      </c>
      <c r="P96" s="110"/>
      <c r="Q96" s="118" t="str">
        <f>IF($F$10=" &lt;&lt;&lt; Select Index &gt;&gt;&gt;","",IF(D96="","",IF(VLOOKUP($F$10&amp;$A96,PAB_CTB_Database!$B:$O,14,FALSE)=0,"",VLOOKUP($F$10&amp;$A96,PAB_CTB_Database!$B:$O,14,FALSE))))</f>
        <v/>
      </c>
      <c r="R96" s="119" t="str">
        <f t="shared" si="11"/>
        <v/>
      </c>
      <c r="S96" s="15"/>
      <c r="V96" s="70"/>
    </row>
    <row r="97" spans="1:22" x14ac:dyDescent="0.3">
      <c r="A97" s="84">
        <v>70</v>
      </c>
      <c r="B97" s="46"/>
      <c r="C97" s="88">
        <f>IF($F$10=" &lt;&lt;&lt; Select Index &gt;&gt;&gt;","",VLOOKUP(_xlfn.CONCAT($F$10,A97),PAB_CTB_Database!B:H,7,FALSE))</f>
        <v>46783</v>
      </c>
      <c r="D97" s="404" t="str">
        <f>IF($F$10=" &lt;&lt;&lt; Select Index &gt;&gt;&gt;","",IF(VLOOKUP($F$10&amp;$A97,PAB_CTB_Database!$B:$I,8,FALSE)=0,"",VLOOKUP($F$10&amp;$A97,PAB_CTB_Database!$B:$I,8,FALSE)))</f>
        <v/>
      </c>
      <c r="E97" s="405"/>
      <c r="F97" s="142" t="str">
        <f>IF($F$10=" &lt;&lt;&lt; Select Index &gt;&gt;&gt;","",IF(VLOOKUP($F$10&amp;$A97,PAB_CTB_Database!$B:$J,9,FALSE)=0,"",VLOOKUP($F$10&amp;$A97,PAB_CTB_Database!$B:$J,9,FALSE)))</f>
        <v/>
      </c>
      <c r="G97" s="142">
        <f>IF($F$10=" &lt;&lt;&lt; Select Index &gt;&gt;&gt;","",IF(VLOOKUP($F$10&amp;$A97,PAB_CTB_Database!$B:$K,10,FALSE)=0,"",VLOOKUP($F$10&amp;$A97,PAB_CTB_Database!$B:$K,10,FALSE)))</f>
        <v>12708176.276150823</v>
      </c>
      <c r="H97" s="143" t="str">
        <f>IF($F$10=" &lt;&lt;&lt; Select Index &gt;&gt;&gt;","",IF(F97="","",IF(VLOOKUP($F$10&amp;$A97,PAB_CTB_Database!$B:$L,11,FALSE)=0,"",VLOOKUP($F$10&amp;$A97,PAB_CTB_Database!$B:$L,11,FALSE))))</f>
        <v/>
      </c>
      <c r="I97" s="144" t="str">
        <f>IF($F$10=" &lt;&lt;&lt; Select Index &gt;&gt;&gt;","",IF(F97="","",IF(VLOOKUP($F$10&amp;$A97,PAB_CTB_Database!$B:$M,12,FALSE)=0,"",VLOOKUP($F$10&amp;$A97,PAB_CTB_Database!$B:$M,12,FALSE))))</f>
        <v/>
      </c>
      <c r="J97" s="145" t="str">
        <f>IF($F$10=" &lt;&lt;&lt; Select Index &gt;&gt;&gt;","",IF(VLOOKUP($F$10&amp;$A97,PAB_CTB_Database!$B:$N,13,FALSE)=0,"",VLOOKUP($F$10&amp;$A97,PAB_CTB_Database!$B:$N,13,FALSE)))</f>
        <v/>
      </c>
      <c r="K97" s="105" t="str">
        <f t="shared" si="6"/>
        <v/>
      </c>
      <c r="L97" s="115" t="str">
        <f t="shared" si="7"/>
        <v/>
      </c>
      <c r="M97" s="148" t="str">
        <f t="shared" si="8"/>
        <v/>
      </c>
      <c r="N97" s="115" t="str">
        <f t="shared" si="9"/>
        <v/>
      </c>
      <c r="O97" s="124" t="str">
        <f t="shared" si="10"/>
        <v/>
      </c>
      <c r="P97" s="110"/>
      <c r="Q97" s="118" t="str">
        <f>IF($F$10=" &lt;&lt;&lt; Select Index &gt;&gt;&gt;","",IF(D97="","",IF(VLOOKUP($F$10&amp;$A97,PAB_CTB_Database!$B:$O,14,FALSE)=0,"",VLOOKUP($F$10&amp;$A97,PAB_CTB_Database!$B:$O,14,FALSE))))</f>
        <v/>
      </c>
      <c r="R97" s="119" t="str">
        <f t="shared" si="11"/>
        <v/>
      </c>
      <c r="S97" s="15"/>
      <c r="V97" s="70"/>
    </row>
    <row r="98" spans="1:22" x14ac:dyDescent="0.3">
      <c r="A98" s="84">
        <v>71</v>
      </c>
      <c r="B98" s="46"/>
      <c r="C98" s="88">
        <f>IF($F$10=" &lt;&lt;&lt; Select Index &gt;&gt;&gt;","",VLOOKUP(_xlfn.CONCAT($F$10,A98),PAB_CTB_Database!B:H,7,FALSE))</f>
        <v>46811</v>
      </c>
      <c r="D98" s="404" t="str">
        <f>IF($F$10=" &lt;&lt;&lt; Select Index &gt;&gt;&gt;","",IF(VLOOKUP($F$10&amp;$A98,PAB_CTB_Database!$B:$I,8,FALSE)=0,"",VLOOKUP($F$10&amp;$A98,PAB_CTB_Database!$B:$I,8,FALSE)))</f>
        <v/>
      </c>
      <c r="E98" s="405"/>
      <c r="F98" s="142" t="str">
        <f>IF($F$10=" &lt;&lt;&lt; Select Index &gt;&gt;&gt;","",IF(VLOOKUP($F$10&amp;$A98,PAB_CTB_Database!$B:$J,9,FALSE)=0,"",VLOOKUP($F$10&amp;$A98,PAB_CTB_Database!$B:$J,9,FALSE)))</f>
        <v/>
      </c>
      <c r="G98" s="142">
        <f>IF($F$10=" &lt;&lt;&lt; Select Index &gt;&gt;&gt;","",IF(VLOOKUP($F$10&amp;$A98,PAB_CTB_Database!$B:$K,10,FALSE)=0,"",VLOOKUP($F$10&amp;$A98,PAB_CTB_Database!$B:$K,10,FALSE)))</f>
        <v>12631554.766423263</v>
      </c>
      <c r="H98" s="143" t="str">
        <f>IF($F$10=" &lt;&lt;&lt; Select Index &gt;&gt;&gt;","",IF(F98="","",IF(VLOOKUP($F$10&amp;$A98,PAB_CTB_Database!$B:$L,11,FALSE)=0,"",VLOOKUP($F$10&amp;$A98,PAB_CTB_Database!$B:$L,11,FALSE))))</f>
        <v/>
      </c>
      <c r="I98" s="144" t="str">
        <f>IF($F$10=" &lt;&lt;&lt; Select Index &gt;&gt;&gt;","",IF(F98="","",IF(VLOOKUP($F$10&amp;$A98,PAB_CTB_Database!$B:$M,12,FALSE)=0,"",VLOOKUP($F$10&amp;$A98,PAB_CTB_Database!$B:$M,12,FALSE))))</f>
        <v/>
      </c>
      <c r="J98" s="145" t="str">
        <f>IF($F$10=" &lt;&lt;&lt; Select Index &gt;&gt;&gt;","",IF(VLOOKUP($F$10&amp;$A98,PAB_CTB_Database!$B:$N,13,FALSE)=0,"",VLOOKUP($F$10&amp;$A98,PAB_CTB_Database!$B:$N,13,FALSE)))</f>
        <v/>
      </c>
      <c r="K98" s="105" t="str">
        <f t="shared" si="6"/>
        <v/>
      </c>
      <c r="L98" s="115" t="str">
        <f t="shared" si="7"/>
        <v/>
      </c>
      <c r="M98" s="148" t="str">
        <f t="shared" si="8"/>
        <v/>
      </c>
      <c r="N98" s="115" t="str">
        <f t="shared" si="9"/>
        <v/>
      </c>
      <c r="O98" s="124" t="str">
        <f t="shared" si="10"/>
        <v/>
      </c>
      <c r="P98" s="110"/>
      <c r="Q98" s="118" t="str">
        <f>IF($F$10=" &lt;&lt;&lt; Select Index &gt;&gt;&gt;","",IF(D98="","",IF(VLOOKUP($F$10&amp;$A98,PAB_CTB_Database!$B:$O,14,FALSE)=0,"",VLOOKUP($F$10&amp;$A98,PAB_CTB_Database!$B:$O,14,FALSE))))</f>
        <v/>
      </c>
      <c r="R98" s="119" t="str">
        <f t="shared" si="11"/>
        <v/>
      </c>
      <c r="S98" s="15"/>
      <c r="V98" s="70"/>
    </row>
    <row r="99" spans="1:22" x14ac:dyDescent="0.3">
      <c r="A99" s="84">
        <v>72</v>
      </c>
      <c r="B99" s="46"/>
      <c r="C99" s="88">
        <f>IF($F$10=" &lt;&lt;&lt; Select Index &gt;&gt;&gt;","",VLOOKUP(_xlfn.CONCAT($F$10,A99),PAB_CTB_Database!B:H,7,FALSE))</f>
        <v>46843</v>
      </c>
      <c r="D99" s="404" t="str">
        <f>IF($F$10=" &lt;&lt;&lt; Select Index &gt;&gt;&gt;","",IF(VLOOKUP($F$10&amp;$A99,PAB_CTB_Database!$B:$I,8,FALSE)=0,"",VLOOKUP($F$10&amp;$A99,PAB_CTB_Database!$B:$I,8,FALSE)))</f>
        <v/>
      </c>
      <c r="E99" s="405"/>
      <c r="F99" s="142" t="str">
        <f>IF($F$10=" &lt;&lt;&lt; Select Index &gt;&gt;&gt;","",IF(VLOOKUP($F$10&amp;$A99,PAB_CTB_Database!$B:$J,9,FALSE)=0,"",VLOOKUP($F$10&amp;$A99,PAB_CTB_Database!$B:$J,9,FALSE)))</f>
        <v/>
      </c>
      <c r="G99" s="142">
        <f>IF($F$10=" &lt;&lt;&lt; Select Index &gt;&gt;&gt;","",IF(VLOOKUP($F$10&amp;$A99,PAB_CTB_Database!$B:$K,10,FALSE)=0,"",VLOOKUP($F$10&amp;$A99,PAB_CTB_Database!$B:$K,10,FALSE)))</f>
        <v>12555395.231382344</v>
      </c>
      <c r="H99" s="143" t="str">
        <f>IF($F$10=" &lt;&lt;&lt; Select Index &gt;&gt;&gt;","",IF(F99="","",IF(VLOOKUP($F$10&amp;$A99,PAB_CTB_Database!$B:$L,11,FALSE)=0,"",VLOOKUP($F$10&amp;$A99,PAB_CTB_Database!$B:$L,11,FALSE))))</f>
        <v/>
      </c>
      <c r="I99" s="144" t="str">
        <f>IF($F$10=" &lt;&lt;&lt; Select Index &gt;&gt;&gt;","",IF(F99="","",IF(VLOOKUP($F$10&amp;$A99,PAB_CTB_Database!$B:$M,12,FALSE)=0,"",VLOOKUP($F$10&amp;$A99,PAB_CTB_Database!$B:$M,12,FALSE))))</f>
        <v/>
      </c>
      <c r="J99" s="145" t="str">
        <f>IF($F$10=" &lt;&lt;&lt; Select Index &gt;&gt;&gt;","",IF(VLOOKUP($F$10&amp;$A99,PAB_CTB_Database!$B:$N,13,FALSE)=0,"",VLOOKUP($F$10&amp;$A99,PAB_CTB_Database!$B:$N,13,FALSE)))</f>
        <v/>
      </c>
      <c r="K99" s="105" t="str">
        <f t="shared" si="6"/>
        <v/>
      </c>
      <c r="L99" s="115" t="str">
        <f t="shared" si="7"/>
        <v/>
      </c>
      <c r="M99" s="148" t="str">
        <f t="shared" si="8"/>
        <v/>
      </c>
      <c r="N99" s="115" t="str">
        <f t="shared" si="9"/>
        <v/>
      </c>
      <c r="O99" s="124" t="str">
        <f t="shared" si="10"/>
        <v/>
      </c>
      <c r="P99" s="110"/>
      <c r="Q99" s="118" t="str">
        <f>IF($F$10=" &lt;&lt;&lt; Select Index &gt;&gt;&gt;","",IF(D99="","",IF(VLOOKUP($F$10&amp;$A99,PAB_CTB_Database!$B:$O,14,FALSE)=0,"",VLOOKUP($F$10&amp;$A99,PAB_CTB_Database!$B:$O,14,FALSE))))</f>
        <v/>
      </c>
      <c r="R99" s="119" t="str">
        <f t="shared" si="11"/>
        <v/>
      </c>
      <c r="S99" s="15"/>
      <c r="V99" s="70"/>
    </row>
    <row r="100" spans="1:22" x14ac:dyDescent="0.3">
      <c r="A100" s="84">
        <v>73</v>
      </c>
      <c r="B100" s="46"/>
      <c r="C100" s="88">
        <f>IF($F$10=" &lt;&lt;&lt; Select Index &gt;&gt;&gt;","",VLOOKUP(_xlfn.CONCAT($F$10,A100),PAB_CTB_Database!B:H,7,FALSE))</f>
        <v>46873</v>
      </c>
      <c r="D100" s="404" t="str">
        <f>IF($F$10=" &lt;&lt;&lt; Select Index &gt;&gt;&gt;","",IF(VLOOKUP($F$10&amp;$A100,PAB_CTB_Database!$B:$I,8,FALSE)=0,"",VLOOKUP($F$10&amp;$A100,PAB_CTB_Database!$B:$I,8,FALSE)))</f>
        <v/>
      </c>
      <c r="E100" s="405"/>
      <c r="F100" s="142" t="str">
        <f>IF($F$10=" &lt;&lt;&lt; Select Index &gt;&gt;&gt;","",IF(VLOOKUP($F$10&amp;$A100,PAB_CTB_Database!$B:$J,9,FALSE)=0,"",VLOOKUP($F$10&amp;$A100,PAB_CTB_Database!$B:$J,9,FALSE)))</f>
        <v/>
      </c>
      <c r="G100" s="142">
        <f>IF($F$10=" &lt;&lt;&lt; Select Index &gt;&gt;&gt;","",IF(VLOOKUP($F$10&amp;$A100,PAB_CTB_Database!$B:$K,10,FALSE)=0,"",VLOOKUP($F$10&amp;$A100,PAB_CTB_Database!$B:$K,10,FALSE)))</f>
        <v>12479694.885640359</v>
      </c>
      <c r="H100" s="143" t="str">
        <f>IF($F$10=" &lt;&lt;&lt; Select Index &gt;&gt;&gt;","",IF(F100="","",IF(VLOOKUP($F$10&amp;$A100,PAB_CTB_Database!$B:$L,11,FALSE)=0,"",VLOOKUP($F$10&amp;$A100,PAB_CTB_Database!$B:$L,11,FALSE))))</f>
        <v/>
      </c>
      <c r="I100" s="144" t="str">
        <f>IF($F$10=" &lt;&lt;&lt; Select Index &gt;&gt;&gt;","",IF(F100="","",IF(VLOOKUP($F$10&amp;$A100,PAB_CTB_Database!$B:$M,12,FALSE)=0,"",VLOOKUP($F$10&amp;$A100,PAB_CTB_Database!$B:$M,12,FALSE))))</f>
        <v/>
      </c>
      <c r="J100" s="145" t="str">
        <f>IF($F$10=" &lt;&lt;&lt; Select Index &gt;&gt;&gt;","",IF(VLOOKUP($F$10&amp;$A100,PAB_CTB_Database!$B:$N,13,FALSE)=0,"",VLOOKUP($F$10&amp;$A100,PAB_CTB_Database!$B:$N,13,FALSE)))</f>
        <v/>
      </c>
      <c r="K100" s="105" t="str">
        <f t="shared" si="6"/>
        <v/>
      </c>
      <c r="L100" s="115" t="str">
        <f t="shared" si="7"/>
        <v/>
      </c>
      <c r="M100" s="148" t="str">
        <f t="shared" si="8"/>
        <v/>
      </c>
      <c r="N100" s="115" t="str">
        <f t="shared" si="9"/>
        <v/>
      </c>
      <c r="O100" s="124" t="str">
        <f t="shared" si="10"/>
        <v/>
      </c>
      <c r="P100" s="110"/>
      <c r="Q100" s="118" t="str">
        <f>IF($F$10=" &lt;&lt;&lt; Select Index &gt;&gt;&gt;","",IF(D100="","",IF(VLOOKUP($F$10&amp;$A100,PAB_CTB_Database!$B:$O,14,FALSE)=0,"",VLOOKUP($F$10&amp;$A100,PAB_CTB_Database!$B:$O,14,FALSE))))</f>
        <v/>
      </c>
      <c r="R100" s="119" t="str">
        <f t="shared" si="11"/>
        <v/>
      </c>
      <c r="S100" s="15"/>
      <c r="V100" s="70"/>
    </row>
    <row r="101" spans="1:22" x14ac:dyDescent="0.3">
      <c r="A101" s="84">
        <v>74</v>
      </c>
      <c r="B101" s="46"/>
      <c r="C101" s="88">
        <f>IF($F$10=" &lt;&lt;&lt; Select Index &gt;&gt;&gt;","",VLOOKUP(_xlfn.CONCAT($F$10,A101),PAB_CTB_Database!B:H,7,FALSE))</f>
        <v>46904</v>
      </c>
      <c r="D101" s="404" t="str">
        <f>IF($F$10=" &lt;&lt;&lt; Select Index &gt;&gt;&gt;","",IF(VLOOKUP($F$10&amp;$A101,PAB_CTB_Database!$B:$I,8,FALSE)=0,"",VLOOKUP($F$10&amp;$A101,PAB_CTB_Database!$B:$I,8,FALSE)))</f>
        <v/>
      </c>
      <c r="E101" s="405"/>
      <c r="F101" s="142" t="str">
        <f>IF($F$10=" &lt;&lt;&lt; Select Index &gt;&gt;&gt;","",IF(VLOOKUP($F$10&amp;$A101,PAB_CTB_Database!$B:$J,9,FALSE)=0,"",VLOOKUP($F$10&amp;$A101,PAB_CTB_Database!$B:$J,9,FALSE)))</f>
        <v/>
      </c>
      <c r="G101" s="142">
        <f>IF($F$10=" &lt;&lt;&lt; Select Index &gt;&gt;&gt;","",IF(VLOOKUP($F$10&amp;$A101,PAB_CTB_Database!$B:$K,10,FALSE)=0,"",VLOOKUP($F$10&amp;$A101,PAB_CTB_Database!$B:$K,10,FALSE)))</f>
        <v>12404450.960603565</v>
      </c>
      <c r="H101" s="143" t="str">
        <f>IF($F$10=" &lt;&lt;&lt; Select Index &gt;&gt;&gt;","",IF(F101="","",IF(VLOOKUP($F$10&amp;$A101,PAB_CTB_Database!$B:$L,11,FALSE)=0,"",VLOOKUP($F$10&amp;$A101,PAB_CTB_Database!$B:$L,11,FALSE))))</f>
        <v/>
      </c>
      <c r="I101" s="144" t="str">
        <f>IF($F$10=" &lt;&lt;&lt; Select Index &gt;&gt;&gt;","",IF(F101="","",IF(VLOOKUP($F$10&amp;$A101,PAB_CTB_Database!$B:$M,12,FALSE)=0,"",VLOOKUP($F$10&amp;$A101,PAB_CTB_Database!$B:$M,12,FALSE))))</f>
        <v/>
      </c>
      <c r="J101" s="145" t="str">
        <f>IF($F$10=" &lt;&lt;&lt; Select Index &gt;&gt;&gt;","",IF(VLOOKUP($F$10&amp;$A101,PAB_CTB_Database!$B:$N,13,FALSE)=0,"",VLOOKUP($F$10&amp;$A101,PAB_CTB_Database!$B:$N,13,FALSE)))</f>
        <v/>
      </c>
      <c r="K101" s="105" t="str">
        <f t="shared" si="6"/>
        <v/>
      </c>
      <c r="L101" s="115" t="str">
        <f t="shared" si="7"/>
        <v/>
      </c>
      <c r="M101" s="148" t="str">
        <f t="shared" si="8"/>
        <v/>
      </c>
      <c r="N101" s="115" t="str">
        <f t="shared" si="9"/>
        <v/>
      </c>
      <c r="O101" s="124" t="str">
        <f t="shared" si="10"/>
        <v/>
      </c>
      <c r="P101" s="110"/>
      <c r="Q101" s="118" t="str">
        <f>IF($F$10=" &lt;&lt;&lt; Select Index &gt;&gt;&gt;","",IF(D101="","",IF(VLOOKUP($F$10&amp;$A101,PAB_CTB_Database!$B:$O,14,FALSE)=0,"",VLOOKUP($F$10&amp;$A101,PAB_CTB_Database!$B:$O,14,FALSE))))</f>
        <v/>
      </c>
      <c r="R101" s="119" t="str">
        <f t="shared" si="11"/>
        <v/>
      </c>
      <c r="S101" s="15"/>
      <c r="V101" s="70"/>
    </row>
    <row r="102" spans="1:22" x14ac:dyDescent="0.3">
      <c r="A102" s="84">
        <v>75</v>
      </c>
      <c r="B102" s="46"/>
      <c r="C102" s="88">
        <f>IF($F$10=" &lt;&lt;&lt; Select Index &gt;&gt;&gt;","",VLOOKUP(_xlfn.CONCAT($F$10,A102),PAB_CTB_Database!B:H,7,FALSE))</f>
        <v>46934</v>
      </c>
      <c r="D102" s="404" t="str">
        <f>IF($F$10=" &lt;&lt;&lt; Select Index &gt;&gt;&gt;","",IF(VLOOKUP($F$10&amp;$A102,PAB_CTB_Database!$B:$I,8,FALSE)=0,"",VLOOKUP($F$10&amp;$A102,PAB_CTB_Database!$B:$I,8,FALSE)))</f>
        <v/>
      </c>
      <c r="E102" s="405"/>
      <c r="F102" s="142" t="str">
        <f>IF($F$10=" &lt;&lt;&lt; Select Index &gt;&gt;&gt;","",IF(VLOOKUP($F$10&amp;$A102,PAB_CTB_Database!$B:$J,9,FALSE)=0,"",VLOOKUP($F$10&amp;$A102,PAB_CTB_Database!$B:$J,9,FALSE)))</f>
        <v/>
      </c>
      <c r="G102" s="142">
        <f>IF($F$10=" &lt;&lt;&lt; Select Index &gt;&gt;&gt;","",IF(VLOOKUP($F$10&amp;$A102,PAB_CTB_Database!$B:$K,10,FALSE)=0,"",VLOOKUP($F$10&amp;$A102,PAB_CTB_Database!$B:$K,10,FALSE)))</f>
        <v>12329660.704370921</v>
      </c>
      <c r="H102" s="143" t="str">
        <f>IF($F$10=" &lt;&lt;&lt; Select Index &gt;&gt;&gt;","",IF(F102="","",IF(VLOOKUP($F$10&amp;$A102,PAB_CTB_Database!$B:$L,11,FALSE)=0,"",VLOOKUP($F$10&amp;$A102,PAB_CTB_Database!$B:$L,11,FALSE))))</f>
        <v/>
      </c>
      <c r="I102" s="144" t="str">
        <f>IF($F$10=" &lt;&lt;&lt; Select Index &gt;&gt;&gt;","",IF(F102="","",IF(VLOOKUP($F$10&amp;$A102,PAB_CTB_Database!$B:$M,12,FALSE)=0,"",VLOOKUP($F$10&amp;$A102,PAB_CTB_Database!$B:$M,12,FALSE))))</f>
        <v/>
      </c>
      <c r="J102" s="145" t="str">
        <f>IF($F$10=" &lt;&lt;&lt; Select Index &gt;&gt;&gt;","",IF(VLOOKUP($F$10&amp;$A102,PAB_CTB_Database!$B:$N,13,FALSE)=0,"",VLOOKUP($F$10&amp;$A102,PAB_CTB_Database!$B:$N,13,FALSE)))</f>
        <v/>
      </c>
      <c r="K102" s="105" t="str">
        <f t="shared" si="6"/>
        <v/>
      </c>
      <c r="L102" s="115" t="str">
        <f t="shared" si="7"/>
        <v/>
      </c>
      <c r="M102" s="148" t="str">
        <f t="shared" si="8"/>
        <v/>
      </c>
      <c r="N102" s="115" t="str">
        <f t="shared" si="9"/>
        <v/>
      </c>
      <c r="O102" s="124" t="str">
        <f t="shared" si="10"/>
        <v/>
      </c>
      <c r="P102" s="110"/>
      <c r="Q102" s="118" t="str">
        <f>IF($F$10=" &lt;&lt;&lt; Select Index &gt;&gt;&gt;","",IF(D102="","",IF(VLOOKUP($F$10&amp;$A102,PAB_CTB_Database!$B:$O,14,FALSE)=0,"",VLOOKUP($F$10&amp;$A102,PAB_CTB_Database!$B:$O,14,FALSE))))</f>
        <v/>
      </c>
      <c r="R102" s="119" t="str">
        <f t="shared" si="11"/>
        <v/>
      </c>
      <c r="S102" s="15"/>
      <c r="V102" s="70"/>
    </row>
    <row r="103" spans="1:22" x14ac:dyDescent="0.3">
      <c r="A103" s="84">
        <v>76</v>
      </c>
      <c r="B103" s="46"/>
      <c r="C103" s="88">
        <f>IF($F$10=" &lt;&lt;&lt; Select Index &gt;&gt;&gt;","",VLOOKUP(_xlfn.CONCAT($F$10,A103),PAB_CTB_Database!B:H,7,FALSE))</f>
        <v>46965</v>
      </c>
      <c r="D103" s="404" t="str">
        <f>IF($F$10=" &lt;&lt;&lt; Select Index &gt;&gt;&gt;","",IF(VLOOKUP($F$10&amp;$A103,PAB_CTB_Database!$B:$I,8,FALSE)=0,"",VLOOKUP($F$10&amp;$A103,PAB_CTB_Database!$B:$I,8,FALSE)))</f>
        <v/>
      </c>
      <c r="E103" s="405"/>
      <c r="F103" s="142" t="str">
        <f>IF($F$10=" &lt;&lt;&lt; Select Index &gt;&gt;&gt;","",IF(VLOOKUP($F$10&amp;$A103,PAB_CTB_Database!$B:$J,9,FALSE)=0,"",VLOOKUP($F$10&amp;$A103,PAB_CTB_Database!$B:$J,9,FALSE)))</f>
        <v/>
      </c>
      <c r="G103" s="142">
        <f>IF($F$10=" &lt;&lt;&lt; Select Index &gt;&gt;&gt;","",IF(VLOOKUP($F$10&amp;$A103,PAB_CTB_Database!$B:$K,10,FALSE)=0,"",VLOOKUP($F$10&amp;$A103,PAB_CTB_Database!$B:$K,10,FALSE)))</f>
        <v>12255321.381633451</v>
      </c>
      <c r="H103" s="143" t="str">
        <f>IF($F$10=" &lt;&lt;&lt; Select Index &gt;&gt;&gt;","",IF(F103="","",IF(VLOOKUP($F$10&amp;$A103,PAB_CTB_Database!$B:$L,11,FALSE)=0,"",VLOOKUP($F$10&amp;$A103,PAB_CTB_Database!$B:$L,11,FALSE))))</f>
        <v/>
      </c>
      <c r="I103" s="144" t="str">
        <f>IF($F$10=" &lt;&lt;&lt; Select Index &gt;&gt;&gt;","",IF(F103="","",IF(VLOOKUP($F$10&amp;$A103,PAB_CTB_Database!$B:$M,12,FALSE)=0,"",VLOOKUP($F$10&amp;$A103,PAB_CTB_Database!$B:$M,12,FALSE))))</f>
        <v/>
      </c>
      <c r="J103" s="145" t="str">
        <f>IF($F$10=" &lt;&lt;&lt; Select Index &gt;&gt;&gt;","",IF(VLOOKUP($F$10&amp;$A103,PAB_CTB_Database!$B:$N,13,FALSE)=0,"",VLOOKUP($F$10&amp;$A103,PAB_CTB_Database!$B:$N,13,FALSE)))</f>
        <v/>
      </c>
      <c r="K103" s="105" t="str">
        <f t="shared" si="6"/>
        <v/>
      </c>
      <c r="L103" s="115" t="str">
        <f t="shared" si="7"/>
        <v/>
      </c>
      <c r="M103" s="148" t="str">
        <f t="shared" si="8"/>
        <v/>
      </c>
      <c r="N103" s="115" t="str">
        <f t="shared" si="9"/>
        <v/>
      </c>
      <c r="O103" s="124" t="str">
        <f t="shared" si="10"/>
        <v/>
      </c>
      <c r="P103" s="110"/>
      <c r="Q103" s="118" t="str">
        <f>IF($F$10=" &lt;&lt;&lt; Select Index &gt;&gt;&gt;","",IF(D103="","",IF(VLOOKUP($F$10&amp;$A103,PAB_CTB_Database!$B:$O,14,FALSE)=0,"",VLOOKUP($F$10&amp;$A103,PAB_CTB_Database!$B:$O,14,FALSE))))</f>
        <v/>
      </c>
      <c r="R103" s="119" t="str">
        <f t="shared" si="11"/>
        <v/>
      </c>
      <c r="S103" s="15"/>
      <c r="V103" s="70"/>
    </row>
    <row r="104" spans="1:22" x14ac:dyDescent="0.3">
      <c r="A104" s="84">
        <v>77</v>
      </c>
      <c r="B104" s="46"/>
      <c r="C104" s="88">
        <f>IF($F$10=" &lt;&lt;&lt; Select Index &gt;&gt;&gt;","",VLOOKUP(_xlfn.CONCAT($F$10,A104),PAB_CTB_Database!B:H,7,FALSE))</f>
        <v>46996</v>
      </c>
      <c r="D104" s="404" t="str">
        <f>IF($F$10=" &lt;&lt;&lt; Select Index &gt;&gt;&gt;","",IF(VLOOKUP($F$10&amp;$A104,PAB_CTB_Database!$B:$I,8,FALSE)=0,"",VLOOKUP($F$10&amp;$A104,PAB_CTB_Database!$B:$I,8,FALSE)))</f>
        <v/>
      </c>
      <c r="E104" s="405"/>
      <c r="F104" s="142" t="str">
        <f>IF($F$10=" &lt;&lt;&lt; Select Index &gt;&gt;&gt;","",IF(VLOOKUP($F$10&amp;$A104,PAB_CTB_Database!$B:$J,9,FALSE)=0,"",VLOOKUP($F$10&amp;$A104,PAB_CTB_Database!$B:$J,9,FALSE)))</f>
        <v/>
      </c>
      <c r="G104" s="142">
        <f>IF($F$10=" &lt;&lt;&lt; Select Index &gt;&gt;&gt;","",IF(VLOOKUP($F$10&amp;$A104,PAB_CTB_Database!$B:$K,10,FALSE)=0,"",VLOOKUP($F$10&amp;$A104,PAB_CTB_Database!$B:$K,10,FALSE)))</f>
        <v>12181430.27357419</v>
      </c>
      <c r="H104" s="143" t="str">
        <f>IF($F$10=" &lt;&lt;&lt; Select Index &gt;&gt;&gt;","",IF(F104="","",IF(VLOOKUP($F$10&amp;$A104,PAB_CTB_Database!$B:$L,11,FALSE)=0,"",VLOOKUP($F$10&amp;$A104,PAB_CTB_Database!$B:$L,11,FALSE))))</f>
        <v/>
      </c>
      <c r="I104" s="144" t="str">
        <f>IF($F$10=" &lt;&lt;&lt; Select Index &gt;&gt;&gt;","",IF(F104="","",IF(VLOOKUP($F$10&amp;$A104,PAB_CTB_Database!$B:$M,12,FALSE)=0,"",VLOOKUP($F$10&amp;$A104,PAB_CTB_Database!$B:$M,12,FALSE))))</f>
        <v/>
      </c>
      <c r="J104" s="145" t="str">
        <f>IF($F$10=" &lt;&lt;&lt; Select Index &gt;&gt;&gt;","",IF(VLOOKUP($F$10&amp;$A104,PAB_CTB_Database!$B:$N,13,FALSE)=0,"",VLOOKUP($F$10&amp;$A104,PAB_CTB_Database!$B:$N,13,FALSE)))</f>
        <v/>
      </c>
      <c r="K104" s="105" t="str">
        <f t="shared" si="6"/>
        <v/>
      </c>
      <c r="L104" s="115" t="str">
        <f t="shared" si="7"/>
        <v/>
      </c>
      <c r="M104" s="148" t="str">
        <f t="shared" si="8"/>
        <v/>
      </c>
      <c r="N104" s="115" t="str">
        <f t="shared" si="9"/>
        <v/>
      </c>
      <c r="O104" s="124" t="str">
        <f t="shared" si="10"/>
        <v/>
      </c>
      <c r="P104" s="110"/>
      <c r="Q104" s="118" t="str">
        <f>IF($F$10=" &lt;&lt;&lt; Select Index &gt;&gt;&gt;","",IF(D104="","",IF(VLOOKUP($F$10&amp;$A104,PAB_CTB_Database!$B:$O,14,FALSE)=0,"",VLOOKUP($F$10&amp;$A104,PAB_CTB_Database!$B:$O,14,FALSE))))</f>
        <v/>
      </c>
      <c r="R104" s="119" t="str">
        <f t="shared" si="11"/>
        <v/>
      </c>
      <c r="S104" s="15"/>
      <c r="V104" s="70"/>
    </row>
    <row r="105" spans="1:22" x14ac:dyDescent="0.3">
      <c r="A105" s="84">
        <v>78</v>
      </c>
      <c r="B105" s="46"/>
      <c r="C105" s="88">
        <f>IF($F$10=" &lt;&lt;&lt; Select Index &gt;&gt;&gt;","",VLOOKUP(_xlfn.CONCAT($F$10,A105),PAB_CTB_Database!B:H,7,FALSE))</f>
        <v>47026</v>
      </c>
      <c r="D105" s="404" t="str">
        <f>IF($F$10=" &lt;&lt;&lt; Select Index &gt;&gt;&gt;","",IF(VLOOKUP($F$10&amp;$A105,PAB_CTB_Database!$B:$I,8,FALSE)=0,"",VLOOKUP($F$10&amp;$A105,PAB_CTB_Database!$B:$I,8,FALSE)))</f>
        <v/>
      </c>
      <c r="E105" s="405"/>
      <c r="F105" s="142" t="str">
        <f>IF($F$10=" &lt;&lt;&lt; Select Index &gt;&gt;&gt;","",IF(VLOOKUP($F$10&amp;$A105,PAB_CTB_Database!$B:$J,9,FALSE)=0,"",VLOOKUP($F$10&amp;$A105,PAB_CTB_Database!$B:$J,9,FALSE)))</f>
        <v/>
      </c>
      <c r="G105" s="142">
        <f>IF($F$10=" &lt;&lt;&lt; Select Index &gt;&gt;&gt;","",IF(VLOOKUP($F$10&amp;$A105,PAB_CTB_Database!$B:$K,10,FALSE)=0,"",VLOOKUP($F$10&amp;$A105,PAB_CTB_Database!$B:$K,10,FALSE)))</f>
        <v>12107984.677768765</v>
      </c>
      <c r="H105" s="143" t="str">
        <f>IF($F$10=" &lt;&lt;&lt; Select Index &gt;&gt;&gt;","",IF(F105="","",IF(VLOOKUP($F$10&amp;$A105,PAB_CTB_Database!$B:$L,11,FALSE)=0,"",VLOOKUP($F$10&amp;$A105,PAB_CTB_Database!$B:$L,11,FALSE))))</f>
        <v/>
      </c>
      <c r="I105" s="144" t="str">
        <f>IF($F$10=" &lt;&lt;&lt; Select Index &gt;&gt;&gt;","",IF(F105="","",IF(VLOOKUP($F$10&amp;$A105,PAB_CTB_Database!$B:$M,12,FALSE)=0,"",VLOOKUP($F$10&amp;$A105,PAB_CTB_Database!$B:$M,12,FALSE))))</f>
        <v/>
      </c>
      <c r="J105" s="145" t="str">
        <f>IF($F$10=" &lt;&lt;&lt; Select Index &gt;&gt;&gt;","",IF(VLOOKUP($F$10&amp;$A105,PAB_CTB_Database!$B:$N,13,FALSE)=0,"",VLOOKUP($F$10&amp;$A105,PAB_CTB_Database!$B:$N,13,FALSE)))</f>
        <v/>
      </c>
      <c r="K105" s="105" t="str">
        <f t="shared" si="6"/>
        <v/>
      </c>
      <c r="L105" s="115" t="str">
        <f t="shared" si="7"/>
        <v/>
      </c>
      <c r="M105" s="148" t="str">
        <f t="shared" si="8"/>
        <v/>
      </c>
      <c r="N105" s="115" t="str">
        <f t="shared" si="9"/>
        <v/>
      </c>
      <c r="O105" s="124" t="str">
        <f t="shared" si="10"/>
        <v/>
      </c>
      <c r="P105" s="110"/>
      <c r="Q105" s="118" t="str">
        <f>IF($F$10=" &lt;&lt;&lt; Select Index &gt;&gt;&gt;","",IF(D105="","",IF(VLOOKUP($F$10&amp;$A105,PAB_CTB_Database!$B:$O,14,FALSE)=0,"",VLOOKUP($F$10&amp;$A105,PAB_CTB_Database!$B:$O,14,FALSE))))</f>
        <v/>
      </c>
      <c r="R105" s="119" t="str">
        <f t="shared" si="11"/>
        <v/>
      </c>
      <c r="S105" s="15"/>
      <c r="V105" s="70"/>
    </row>
    <row r="106" spans="1:22" x14ac:dyDescent="0.3">
      <c r="A106" s="84">
        <v>79</v>
      </c>
      <c r="B106" s="46"/>
      <c r="C106" s="88">
        <f>IF($F$10=" &lt;&lt;&lt; Select Index &gt;&gt;&gt;","",VLOOKUP(_xlfn.CONCAT($F$10,A106),PAB_CTB_Database!B:H,7,FALSE))</f>
        <v>47057</v>
      </c>
      <c r="D106" s="404" t="str">
        <f>IF($F$10=" &lt;&lt;&lt; Select Index &gt;&gt;&gt;","",IF(VLOOKUP($F$10&amp;$A106,PAB_CTB_Database!$B:$I,8,FALSE)=0,"",VLOOKUP($F$10&amp;$A106,PAB_CTB_Database!$B:$I,8,FALSE)))</f>
        <v/>
      </c>
      <c r="E106" s="405"/>
      <c r="F106" s="142" t="str">
        <f>IF($F$10=" &lt;&lt;&lt; Select Index &gt;&gt;&gt;","",IF(VLOOKUP($F$10&amp;$A106,PAB_CTB_Database!$B:$J,9,FALSE)=0,"",VLOOKUP($F$10&amp;$A106,PAB_CTB_Database!$B:$J,9,FALSE)))</f>
        <v/>
      </c>
      <c r="G106" s="142">
        <f>IF($F$10=" &lt;&lt;&lt; Select Index &gt;&gt;&gt;","",IF(VLOOKUP($F$10&amp;$A106,PAB_CTB_Database!$B:$K,10,FALSE)=0,"",VLOOKUP($F$10&amp;$A106,PAB_CTB_Database!$B:$K,10,FALSE)))</f>
        <v>12034981.908086553</v>
      </c>
      <c r="H106" s="143" t="str">
        <f>IF($F$10=" &lt;&lt;&lt; Select Index &gt;&gt;&gt;","",IF(F106="","",IF(VLOOKUP($F$10&amp;$A106,PAB_CTB_Database!$B:$L,11,FALSE)=0,"",VLOOKUP($F$10&amp;$A106,PAB_CTB_Database!$B:$L,11,FALSE))))</f>
        <v/>
      </c>
      <c r="I106" s="144" t="str">
        <f>IF($F$10=" &lt;&lt;&lt; Select Index &gt;&gt;&gt;","",IF(F106="","",IF(VLOOKUP($F$10&amp;$A106,PAB_CTB_Database!$B:$M,12,FALSE)=0,"",VLOOKUP($F$10&amp;$A106,PAB_CTB_Database!$B:$M,12,FALSE))))</f>
        <v/>
      </c>
      <c r="J106" s="145" t="str">
        <f>IF($F$10=" &lt;&lt;&lt; Select Index &gt;&gt;&gt;","",IF(VLOOKUP($F$10&amp;$A106,PAB_CTB_Database!$B:$N,13,FALSE)=0,"",VLOOKUP($F$10&amp;$A106,PAB_CTB_Database!$B:$N,13,FALSE)))</f>
        <v/>
      </c>
      <c r="K106" s="105" t="str">
        <f t="shared" si="6"/>
        <v/>
      </c>
      <c r="L106" s="115" t="str">
        <f t="shared" si="7"/>
        <v/>
      </c>
      <c r="M106" s="148" t="str">
        <f t="shared" si="8"/>
        <v/>
      </c>
      <c r="N106" s="115" t="str">
        <f t="shared" si="9"/>
        <v/>
      </c>
      <c r="O106" s="124" t="str">
        <f t="shared" si="10"/>
        <v/>
      </c>
      <c r="P106" s="110"/>
      <c r="Q106" s="118" t="str">
        <f>IF($F$10=" &lt;&lt;&lt; Select Index &gt;&gt;&gt;","",IF(D106="","",IF(VLOOKUP($F$10&amp;$A106,PAB_CTB_Database!$B:$O,14,FALSE)=0,"",VLOOKUP($F$10&amp;$A106,PAB_CTB_Database!$B:$O,14,FALSE))))</f>
        <v/>
      </c>
      <c r="R106" s="119" t="str">
        <f t="shared" si="11"/>
        <v/>
      </c>
      <c r="S106" s="15"/>
      <c r="V106" s="70"/>
    </row>
    <row r="107" spans="1:22" x14ac:dyDescent="0.3">
      <c r="A107" s="84">
        <v>80</v>
      </c>
      <c r="B107" s="46"/>
      <c r="C107" s="88">
        <f>IF($F$10=" &lt;&lt;&lt; Select Index &gt;&gt;&gt;","",VLOOKUP(_xlfn.CONCAT($F$10,A107),PAB_CTB_Database!B:H,7,FALSE))</f>
        <v>47087</v>
      </c>
      <c r="D107" s="404" t="str">
        <f>IF($F$10=" &lt;&lt;&lt; Select Index &gt;&gt;&gt;","",IF(VLOOKUP($F$10&amp;$A107,PAB_CTB_Database!$B:$I,8,FALSE)=0,"",VLOOKUP($F$10&amp;$A107,PAB_CTB_Database!$B:$I,8,FALSE)))</f>
        <v/>
      </c>
      <c r="E107" s="405"/>
      <c r="F107" s="142" t="str">
        <f>IF($F$10=" &lt;&lt;&lt; Select Index &gt;&gt;&gt;","",IF(VLOOKUP($F$10&amp;$A107,PAB_CTB_Database!$B:$J,9,FALSE)=0,"",VLOOKUP($F$10&amp;$A107,PAB_CTB_Database!$B:$J,9,FALSE)))</f>
        <v/>
      </c>
      <c r="G107" s="142">
        <f>IF($F$10=" &lt;&lt;&lt; Select Index &gt;&gt;&gt;","",IF(VLOOKUP($F$10&amp;$A107,PAB_CTB_Database!$B:$K,10,FALSE)=0,"",VLOOKUP($F$10&amp;$A107,PAB_CTB_Database!$B:$K,10,FALSE)))</f>
        <v>11962419.294592435</v>
      </c>
      <c r="H107" s="143" t="str">
        <f>IF($F$10=" &lt;&lt;&lt; Select Index &gt;&gt;&gt;","",IF(F107="","",IF(VLOOKUP($F$10&amp;$A107,PAB_CTB_Database!$B:$L,11,FALSE)=0,"",VLOOKUP($F$10&amp;$A107,PAB_CTB_Database!$B:$L,11,FALSE))))</f>
        <v/>
      </c>
      <c r="I107" s="144" t="str">
        <f>IF($F$10=" &lt;&lt;&lt; Select Index &gt;&gt;&gt;","",IF(F107="","",IF(VLOOKUP($F$10&amp;$A107,PAB_CTB_Database!$B:$M,12,FALSE)=0,"",VLOOKUP($F$10&amp;$A107,PAB_CTB_Database!$B:$M,12,FALSE))))</f>
        <v/>
      </c>
      <c r="J107" s="145" t="str">
        <f>IF($F$10=" &lt;&lt;&lt; Select Index &gt;&gt;&gt;","",IF(VLOOKUP($F$10&amp;$A107,PAB_CTB_Database!$B:$N,13,FALSE)=0,"",VLOOKUP($F$10&amp;$A107,PAB_CTB_Database!$B:$N,13,FALSE)))</f>
        <v/>
      </c>
      <c r="K107" s="105" t="str">
        <f t="shared" si="6"/>
        <v/>
      </c>
      <c r="L107" s="115" t="str">
        <f t="shared" si="7"/>
        <v/>
      </c>
      <c r="M107" s="148" t="str">
        <f t="shared" si="8"/>
        <v/>
      </c>
      <c r="N107" s="115" t="str">
        <f t="shared" si="9"/>
        <v/>
      </c>
      <c r="O107" s="124" t="str">
        <f t="shared" si="10"/>
        <v/>
      </c>
      <c r="P107" s="110"/>
      <c r="Q107" s="118" t="str">
        <f>IF($F$10=" &lt;&lt;&lt; Select Index &gt;&gt;&gt;","",IF(D107="","",IF(VLOOKUP($F$10&amp;$A107,PAB_CTB_Database!$B:$O,14,FALSE)=0,"",VLOOKUP($F$10&amp;$A107,PAB_CTB_Database!$B:$O,14,FALSE))))</f>
        <v/>
      </c>
      <c r="R107" s="119" t="str">
        <f t="shared" si="11"/>
        <v/>
      </c>
      <c r="S107" s="15"/>
      <c r="V107" s="70"/>
    </row>
    <row r="108" spans="1:22" x14ac:dyDescent="0.3">
      <c r="A108" s="84">
        <v>81</v>
      </c>
      <c r="B108" s="46"/>
      <c r="C108" s="88">
        <f>IF($F$10=" &lt;&lt;&lt; Select Index &gt;&gt;&gt;","",VLOOKUP(_xlfn.CONCAT($F$10,A108),PAB_CTB_Database!B:H,7,FALSE))</f>
        <v>47118</v>
      </c>
      <c r="D108" s="404" t="str">
        <f>IF($F$10=" &lt;&lt;&lt; Select Index &gt;&gt;&gt;","",IF(VLOOKUP($F$10&amp;$A108,PAB_CTB_Database!$B:$I,8,FALSE)=0,"",VLOOKUP($F$10&amp;$A108,PAB_CTB_Database!$B:$I,8,FALSE)))</f>
        <v/>
      </c>
      <c r="E108" s="405"/>
      <c r="F108" s="142" t="str">
        <f>IF($F$10=" &lt;&lt;&lt; Select Index &gt;&gt;&gt;","",IF(VLOOKUP($F$10&amp;$A108,PAB_CTB_Database!$B:$J,9,FALSE)=0,"",VLOOKUP($F$10&amp;$A108,PAB_CTB_Database!$B:$J,9,FALSE)))</f>
        <v/>
      </c>
      <c r="G108" s="142">
        <f>IF($F$10=" &lt;&lt;&lt; Select Index &gt;&gt;&gt;","",IF(VLOOKUP($F$10&amp;$A108,PAB_CTB_Database!$B:$K,10,FALSE)=0,"",VLOOKUP($F$10&amp;$A108,PAB_CTB_Database!$B:$K,10,FALSE)))</f>
        <v>11890294.183449158</v>
      </c>
      <c r="H108" s="143" t="str">
        <f>IF($F$10=" &lt;&lt;&lt; Select Index &gt;&gt;&gt;","",IF(F108="","",IF(VLOOKUP($F$10&amp;$A108,PAB_CTB_Database!$B:$L,11,FALSE)=0,"",VLOOKUP($F$10&amp;$A108,PAB_CTB_Database!$B:$L,11,FALSE))))</f>
        <v/>
      </c>
      <c r="I108" s="144" t="str">
        <f>IF($F$10=" &lt;&lt;&lt; Select Index &gt;&gt;&gt;","",IF(F108="","",IF(VLOOKUP($F$10&amp;$A108,PAB_CTB_Database!$B:$M,12,FALSE)=0,"",VLOOKUP($F$10&amp;$A108,PAB_CTB_Database!$B:$M,12,FALSE))))</f>
        <v/>
      </c>
      <c r="J108" s="145" t="str">
        <f>IF($F$10=" &lt;&lt;&lt; Select Index &gt;&gt;&gt;","",IF(VLOOKUP($F$10&amp;$A108,PAB_CTB_Database!$B:$N,13,FALSE)=0,"",VLOOKUP($F$10&amp;$A108,PAB_CTB_Database!$B:$N,13,FALSE)))</f>
        <v/>
      </c>
      <c r="K108" s="105" t="str">
        <f t="shared" si="6"/>
        <v/>
      </c>
      <c r="L108" s="115" t="str">
        <f t="shared" si="7"/>
        <v/>
      </c>
      <c r="M108" s="148" t="str">
        <f t="shared" si="8"/>
        <v/>
      </c>
      <c r="N108" s="115" t="str">
        <f t="shared" si="9"/>
        <v/>
      </c>
      <c r="O108" s="124" t="str">
        <f t="shared" si="10"/>
        <v/>
      </c>
      <c r="P108" s="110"/>
      <c r="Q108" s="118" t="str">
        <f>IF($F$10=" &lt;&lt;&lt; Select Index &gt;&gt;&gt;","",IF(D108="","",IF(VLOOKUP($F$10&amp;$A108,PAB_CTB_Database!$B:$O,14,FALSE)=0,"",VLOOKUP($F$10&amp;$A108,PAB_CTB_Database!$B:$O,14,FALSE))))</f>
        <v/>
      </c>
      <c r="R108" s="119" t="str">
        <f t="shared" si="11"/>
        <v/>
      </c>
      <c r="S108" s="15"/>
      <c r="V108" s="70"/>
    </row>
    <row r="109" spans="1:22" x14ac:dyDescent="0.3">
      <c r="A109" s="84">
        <v>82</v>
      </c>
      <c r="B109" s="46"/>
      <c r="C109" s="88">
        <f>IF($F$10=" &lt;&lt;&lt; Select Index &gt;&gt;&gt;","",VLOOKUP(_xlfn.CONCAT($F$10,A109),PAB_CTB_Database!B:H,7,FALSE))</f>
        <v>47149</v>
      </c>
      <c r="D109" s="404" t="str">
        <f>IF($F$10=" &lt;&lt;&lt; Select Index &gt;&gt;&gt;","",IF(VLOOKUP($F$10&amp;$A109,PAB_CTB_Database!$B:$I,8,FALSE)=0,"",VLOOKUP($F$10&amp;$A109,PAB_CTB_Database!$B:$I,8,FALSE)))</f>
        <v/>
      </c>
      <c r="E109" s="405"/>
      <c r="F109" s="142" t="str">
        <f>IF($F$10=" &lt;&lt;&lt; Select Index &gt;&gt;&gt;","",IF(VLOOKUP($F$10&amp;$A109,PAB_CTB_Database!$B:$J,9,FALSE)=0,"",VLOOKUP($F$10&amp;$A109,PAB_CTB_Database!$B:$J,9,FALSE)))</f>
        <v/>
      </c>
      <c r="G109" s="142">
        <f>IF($F$10=" &lt;&lt;&lt; Select Index &gt;&gt;&gt;","",IF(VLOOKUP($F$10&amp;$A109,PAB_CTB_Database!$B:$K,10,FALSE)=0,"",VLOOKUP($F$10&amp;$A109,PAB_CTB_Database!$B:$K,10,FALSE)))</f>
        <v>11818603.936820265</v>
      </c>
      <c r="H109" s="143" t="str">
        <f>IF($F$10=" &lt;&lt;&lt; Select Index &gt;&gt;&gt;","",IF(F109="","",IF(VLOOKUP($F$10&amp;$A109,PAB_CTB_Database!$B:$L,11,FALSE)=0,"",VLOOKUP($F$10&amp;$A109,PAB_CTB_Database!$B:$L,11,FALSE))))</f>
        <v/>
      </c>
      <c r="I109" s="144" t="str">
        <f>IF($F$10=" &lt;&lt;&lt; Select Index &gt;&gt;&gt;","",IF(F109="","",IF(VLOOKUP($F$10&amp;$A109,PAB_CTB_Database!$B:$M,12,FALSE)=0,"",VLOOKUP($F$10&amp;$A109,PAB_CTB_Database!$B:$M,12,FALSE))))</f>
        <v/>
      </c>
      <c r="J109" s="145" t="str">
        <f>IF($F$10=" &lt;&lt;&lt; Select Index &gt;&gt;&gt;","",IF(VLOOKUP($F$10&amp;$A109,PAB_CTB_Database!$B:$N,13,FALSE)=0,"",VLOOKUP($F$10&amp;$A109,PAB_CTB_Database!$B:$N,13,FALSE)))</f>
        <v/>
      </c>
      <c r="K109" s="105" t="str">
        <f t="shared" si="6"/>
        <v/>
      </c>
      <c r="L109" s="115" t="str">
        <f t="shared" si="7"/>
        <v/>
      </c>
      <c r="M109" s="148" t="str">
        <f t="shared" si="8"/>
        <v/>
      </c>
      <c r="N109" s="115" t="str">
        <f t="shared" si="9"/>
        <v/>
      </c>
      <c r="O109" s="124" t="str">
        <f t="shared" si="10"/>
        <v/>
      </c>
      <c r="P109" s="110"/>
      <c r="Q109" s="118" t="str">
        <f>IF($F$10=" &lt;&lt;&lt; Select Index &gt;&gt;&gt;","",IF(D109="","",IF(VLOOKUP($F$10&amp;$A109,PAB_CTB_Database!$B:$O,14,FALSE)=0,"",VLOOKUP($F$10&amp;$A109,PAB_CTB_Database!$B:$O,14,FALSE))))</f>
        <v/>
      </c>
      <c r="R109" s="119" t="str">
        <f t="shared" si="11"/>
        <v/>
      </c>
      <c r="S109" s="15"/>
      <c r="V109" s="70"/>
    </row>
    <row r="110" spans="1:22" x14ac:dyDescent="0.3">
      <c r="A110" s="84">
        <v>83</v>
      </c>
      <c r="B110" s="46"/>
      <c r="C110" s="88">
        <f>IF($F$10=" &lt;&lt;&lt; Select Index &gt;&gt;&gt;","",VLOOKUP(_xlfn.CONCAT($F$10,A110),PAB_CTB_Database!B:H,7,FALSE))</f>
        <v>47177</v>
      </c>
      <c r="D110" s="404" t="str">
        <f>IF($F$10=" &lt;&lt;&lt; Select Index &gt;&gt;&gt;","",IF(VLOOKUP($F$10&amp;$A110,PAB_CTB_Database!$B:$I,8,FALSE)=0,"",VLOOKUP($F$10&amp;$A110,PAB_CTB_Database!$B:$I,8,FALSE)))</f>
        <v/>
      </c>
      <c r="E110" s="405"/>
      <c r="F110" s="142" t="str">
        <f>IF($F$10=" &lt;&lt;&lt; Select Index &gt;&gt;&gt;","",IF(VLOOKUP($F$10&amp;$A110,PAB_CTB_Database!$B:$J,9,FALSE)=0,"",VLOOKUP($F$10&amp;$A110,PAB_CTB_Database!$B:$J,9,FALSE)))</f>
        <v/>
      </c>
      <c r="G110" s="142">
        <f>IF($F$10=" &lt;&lt;&lt; Select Index &gt;&gt;&gt;","",IF(VLOOKUP($F$10&amp;$A110,PAB_CTB_Database!$B:$K,10,FALSE)=0,"",VLOOKUP($F$10&amp;$A110,PAB_CTB_Database!$B:$K,10,FALSE)))</f>
        <v>11747345.932773635</v>
      </c>
      <c r="H110" s="143" t="str">
        <f>IF($F$10=" &lt;&lt;&lt; Select Index &gt;&gt;&gt;","",IF(F110="","",IF(VLOOKUP($F$10&amp;$A110,PAB_CTB_Database!$B:$L,11,FALSE)=0,"",VLOOKUP($F$10&amp;$A110,PAB_CTB_Database!$B:$L,11,FALSE))))</f>
        <v/>
      </c>
      <c r="I110" s="144" t="str">
        <f>IF($F$10=" &lt;&lt;&lt; Select Index &gt;&gt;&gt;","",IF(F110="","",IF(VLOOKUP($F$10&amp;$A110,PAB_CTB_Database!$B:$M,12,FALSE)=0,"",VLOOKUP($F$10&amp;$A110,PAB_CTB_Database!$B:$M,12,FALSE))))</f>
        <v/>
      </c>
      <c r="J110" s="145" t="str">
        <f>IF($F$10=" &lt;&lt;&lt; Select Index &gt;&gt;&gt;","",IF(VLOOKUP($F$10&amp;$A110,PAB_CTB_Database!$B:$N,13,FALSE)=0,"",VLOOKUP($F$10&amp;$A110,PAB_CTB_Database!$B:$N,13,FALSE)))</f>
        <v/>
      </c>
      <c r="K110" s="105" t="str">
        <f t="shared" si="6"/>
        <v/>
      </c>
      <c r="L110" s="115" t="str">
        <f t="shared" si="7"/>
        <v/>
      </c>
      <c r="M110" s="148" t="str">
        <f t="shared" si="8"/>
        <v/>
      </c>
      <c r="N110" s="115" t="str">
        <f t="shared" si="9"/>
        <v/>
      </c>
      <c r="O110" s="124" t="str">
        <f t="shared" si="10"/>
        <v/>
      </c>
      <c r="P110" s="110"/>
      <c r="Q110" s="118" t="str">
        <f>IF($F$10=" &lt;&lt;&lt; Select Index &gt;&gt;&gt;","",IF(D110="","",IF(VLOOKUP($F$10&amp;$A110,PAB_CTB_Database!$B:$O,14,FALSE)=0,"",VLOOKUP($F$10&amp;$A110,PAB_CTB_Database!$B:$O,14,FALSE))))</f>
        <v/>
      </c>
      <c r="R110" s="119" t="str">
        <f t="shared" si="11"/>
        <v/>
      </c>
      <c r="S110" s="15"/>
      <c r="V110" s="70"/>
    </row>
    <row r="111" spans="1:22" x14ac:dyDescent="0.3">
      <c r="A111" s="84">
        <v>84</v>
      </c>
      <c r="B111" s="46"/>
      <c r="C111" s="88">
        <f>IF($F$10=" &lt;&lt;&lt; Select Index &gt;&gt;&gt;","",VLOOKUP(_xlfn.CONCAT($F$10,A111),PAB_CTB_Database!B:H,7,FALSE))</f>
        <v>47208</v>
      </c>
      <c r="D111" s="404" t="str">
        <f>IF($F$10=" &lt;&lt;&lt; Select Index &gt;&gt;&gt;","",IF(VLOOKUP($F$10&amp;$A111,PAB_CTB_Database!$B:$I,8,FALSE)=0,"",VLOOKUP($F$10&amp;$A111,PAB_CTB_Database!$B:$I,8,FALSE)))</f>
        <v/>
      </c>
      <c r="E111" s="405"/>
      <c r="F111" s="142" t="str">
        <f>IF($F$10=" &lt;&lt;&lt; Select Index &gt;&gt;&gt;","",IF(VLOOKUP($F$10&amp;$A111,PAB_CTB_Database!$B:$J,9,FALSE)=0,"",VLOOKUP($F$10&amp;$A111,PAB_CTB_Database!$B:$J,9,FALSE)))</f>
        <v/>
      </c>
      <c r="G111" s="142">
        <f>IF($F$10=" &lt;&lt;&lt; Select Index &gt;&gt;&gt;","",IF(VLOOKUP($F$10&amp;$A111,PAB_CTB_Database!$B:$K,10,FALSE)=0,"",VLOOKUP($F$10&amp;$A111,PAB_CTB_Database!$B:$K,10,FALSE)))</f>
        <v>11676517.56518558</v>
      </c>
      <c r="H111" s="143" t="str">
        <f>IF($F$10=" &lt;&lt;&lt; Select Index &gt;&gt;&gt;","",IF(F111="","",IF(VLOOKUP($F$10&amp;$A111,PAB_CTB_Database!$B:$L,11,FALSE)=0,"",VLOOKUP($F$10&amp;$A111,PAB_CTB_Database!$B:$L,11,FALSE))))</f>
        <v/>
      </c>
      <c r="I111" s="144" t="str">
        <f>IF($F$10=" &lt;&lt;&lt; Select Index &gt;&gt;&gt;","",IF(F111="","",IF(VLOOKUP($F$10&amp;$A111,PAB_CTB_Database!$B:$M,12,FALSE)=0,"",VLOOKUP($F$10&amp;$A111,PAB_CTB_Database!$B:$M,12,FALSE))))</f>
        <v/>
      </c>
      <c r="J111" s="145" t="str">
        <f>IF($F$10=" &lt;&lt;&lt; Select Index &gt;&gt;&gt;","",IF(VLOOKUP($F$10&amp;$A111,PAB_CTB_Database!$B:$N,13,FALSE)=0,"",VLOOKUP($F$10&amp;$A111,PAB_CTB_Database!$B:$N,13,FALSE)))</f>
        <v/>
      </c>
      <c r="K111" s="105" t="str">
        <f t="shared" si="6"/>
        <v/>
      </c>
      <c r="L111" s="115" t="str">
        <f t="shared" si="7"/>
        <v/>
      </c>
      <c r="M111" s="148" t="str">
        <f t="shared" si="8"/>
        <v/>
      </c>
      <c r="N111" s="115" t="str">
        <f t="shared" si="9"/>
        <v/>
      </c>
      <c r="O111" s="124" t="str">
        <f t="shared" si="10"/>
        <v/>
      </c>
      <c r="P111" s="110"/>
      <c r="Q111" s="118" t="str">
        <f>IF($F$10=" &lt;&lt;&lt; Select Index &gt;&gt;&gt;","",IF(D111="","",IF(VLOOKUP($F$10&amp;$A111,PAB_CTB_Database!$B:$O,14,FALSE)=0,"",VLOOKUP($F$10&amp;$A111,PAB_CTB_Database!$B:$O,14,FALSE))))</f>
        <v/>
      </c>
      <c r="R111" s="119" t="str">
        <f t="shared" si="11"/>
        <v/>
      </c>
      <c r="S111" s="15"/>
      <c r="V111" s="70"/>
    </row>
    <row r="112" spans="1:22" x14ac:dyDescent="0.3">
      <c r="A112" s="84">
        <v>85</v>
      </c>
      <c r="B112" s="46"/>
      <c r="C112" s="88">
        <f>IF($F$10=" &lt;&lt;&lt; Select Index &gt;&gt;&gt;","",VLOOKUP(_xlfn.CONCAT($F$10,A112),PAB_CTB_Database!B:H,7,FALSE))</f>
        <v>47238</v>
      </c>
      <c r="D112" s="404" t="str">
        <f>IF($F$10=" &lt;&lt;&lt; Select Index &gt;&gt;&gt;","",IF(VLOOKUP($F$10&amp;$A112,PAB_CTB_Database!$B:$I,8,FALSE)=0,"",VLOOKUP($F$10&amp;$A112,PAB_CTB_Database!$B:$I,8,FALSE)))</f>
        <v/>
      </c>
      <c r="E112" s="405"/>
      <c r="F112" s="142" t="str">
        <f>IF($F$10=" &lt;&lt;&lt; Select Index &gt;&gt;&gt;","",IF(VLOOKUP($F$10&amp;$A112,PAB_CTB_Database!$B:$J,9,FALSE)=0,"",VLOOKUP($F$10&amp;$A112,PAB_CTB_Database!$B:$J,9,FALSE)))</f>
        <v/>
      </c>
      <c r="G112" s="142">
        <f>IF($F$10=" &lt;&lt;&lt; Select Index &gt;&gt;&gt;","",IF(VLOOKUP($F$10&amp;$A112,PAB_CTB_Database!$B:$K,10,FALSE)=0,"",VLOOKUP($F$10&amp;$A112,PAB_CTB_Database!$B:$K,10,FALSE)))</f>
        <v>11606116.243645532</v>
      </c>
      <c r="H112" s="143" t="str">
        <f>IF($F$10=" &lt;&lt;&lt; Select Index &gt;&gt;&gt;","",IF(F112="","",IF(VLOOKUP($F$10&amp;$A112,PAB_CTB_Database!$B:$L,11,FALSE)=0,"",VLOOKUP($F$10&amp;$A112,PAB_CTB_Database!$B:$L,11,FALSE))))</f>
        <v/>
      </c>
      <c r="I112" s="144" t="str">
        <f>IF($F$10=" &lt;&lt;&lt; Select Index &gt;&gt;&gt;","",IF(F112="","",IF(VLOOKUP($F$10&amp;$A112,PAB_CTB_Database!$B:$M,12,FALSE)=0,"",VLOOKUP($F$10&amp;$A112,PAB_CTB_Database!$B:$M,12,FALSE))))</f>
        <v/>
      </c>
      <c r="J112" s="145" t="str">
        <f>IF($F$10=" &lt;&lt;&lt; Select Index &gt;&gt;&gt;","",IF(VLOOKUP($F$10&amp;$A112,PAB_CTB_Database!$B:$N,13,FALSE)=0,"",VLOOKUP($F$10&amp;$A112,PAB_CTB_Database!$B:$N,13,FALSE)))</f>
        <v/>
      </c>
      <c r="K112" s="105" t="str">
        <f t="shared" si="6"/>
        <v/>
      </c>
      <c r="L112" s="115" t="str">
        <f t="shared" si="7"/>
        <v/>
      </c>
      <c r="M112" s="148" t="str">
        <f t="shared" si="8"/>
        <v/>
      </c>
      <c r="N112" s="115" t="str">
        <f t="shared" si="9"/>
        <v/>
      </c>
      <c r="O112" s="124" t="str">
        <f t="shared" si="10"/>
        <v/>
      </c>
      <c r="P112" s="110"/>
      <c r="Q112" s="118" t="str">
        <f>IF($F$10=" &lt;&lt;&lt; Select Index &gt;&gt;&gt;","",IF(D112="","",IF(VLOOKUP($F$10&amp;$A112,PAB_CTB_Database!$B:$O,14,FALSE)=0,"",VLOOKUP($F$10&amp;$A112,PAB_CTB_Database!$B:$O,14,FALSE))))</f>
        <v/>
      </c>
      <c r="R112" s="119" t="str">
        <f t="shared" si="11"/>
        <v/>
      </c>
      <c r="S112" s="15"/>
      <c r="V112" s="70"/>
    </row>
    <row r="113" spans="1:22" x14ac:dyDescent="0.3">
      <c r="A113" s="84">
        <v>86</v>
      </c>
      <c r="B113" s="46"/>
      <c r="C113" s="88">
        <f>IF($F$10=" &lt;&lt;&lt; Select Index &gt;&gt;&gt;","",VLOOKUP(_xlfn.CONCAT($F$10,A113),PAB_CTB_Database!B:H,7,FALSE))</f>
        <v>47269</v>
      </c>
      <c r="D113" s="404" t="str">
        <f>IF($F$10=" &lt;&lt;&lt; Select Index &gt;&gt;&gt;","",IF(VLOOKUP($F$10&amp;$A113,PAB_CTB_Database!$B:$I,8,FALSE)=0,"",VLOOKUP($F$10&amp;$A113,PAB_CTB_Database!$B:$I,8,FALSE)))</f>
        <v/>
      </c>
      <c r="E113" s="405"/>
      <c r="F113" s="142" t="str">
        <f>IF($F$10=" &lt;&lt;&lt; Select Index &gt;&gt;&gt;","",IF(VLOOKUP($F$10&amp;$A113,PAB_CTB_Database!$B:$J,9,FALSE)=0,"",VLOOKUP($F$10&amp;$A113,PAB_CTB_Database!$B:$J,9,FALSE)))</f>
        <v/>
      </c>
      <c r="G113" s="142">
        <f>IF($F$10=" &lt;&lt;&lt; Select Index &gt;&gt;&gt;","",IF(VLOOKUP($F$10&amp;$A113,PAB_CTB_Database!$B:$K,10,FALSE)=0,"",VLOOKUP($F$10&amp;$A113,PAB_CTB_Database!$B:$K,10,FALSE)))</f>
        <v>11536139.393361315</v>
      </c>
      <c r="H113" s="143" t="str">
        <f>IF($F$10=" &lt;&lt;&lt; Select Index &gt;&gt;&gt;","",IF(F113="","",IF(VLOOKUP($F$10&amp;$A113,PAB_CTB_Database!$B:$L,11,FALSE)=0,"",VLOOKUP($F$10&amp;$A113,PAB_CTB_Database!$B:$L,11,FALSE))))</f>
        <v/>
      </c>
      <c r="I113" s="144" t="str">
        <f>IF($F$10=" &lt;&lt;&lt; Select Index &gt;&gt;&gt;","",IF(F113="","",IF(VLOOKUP($F$10&amp;$A113,PAB_CTB_Database!$B:$M,12,FALSE)=0,"",VLOOKUP($F$10&amp;$A113,PAB_CTB_Database!$B:$M,12,FALSE))))</f>
        <v/>
      </c>
      <c r="J113" s="145" t="str">
        <f>IF($F$10=" &lt;&lt;&lt; Select Index &gt;&gt;&gt;","",IF(VLOOKUP($F$10&amp;$A113,PAB_CTB_Database!$B:$N,13,FALSE)=0,"",VLOOKUP($F$10&amp;$A113,PAB_CTB_Database!$B:$N,13,FALSE)))</f>
        <v/>
      </c>
      <c r="K113" s="105" t="str">
        <f t="shared" si="6"/>
        <v/>
      </c>
      <c r="L113" s="115" t="str">
        <f t="shared" si="7"/>
        <v/>
      </c>
      <c r="M113" s="148" t="str">
        <f t="shared" si="8"/>
        <v/>
      </c>
      <c r="N113" s="115" t="str">
        <f t="shared" si="9"/>
        <v/>
      </c>
      <c r="O113" s="124" t="str">
        <f t="shared" si="10"/>
        <v/>
      </c>
      <c r="P113" s="110"/>
      <c r="Q113" s="118" t="str">
        <f>IF($F$10=" &lt;&lt;&lt; Select Index &gt;&gt;&gt;","",IF(D113="","",IF(VLOOKUP($F$10&amp;$A113,PAB_CTB_Database!$B:$O,14,FALSE)=0,"",VLOOKUP($F$10&amp;$A113,PAB_CTB_Database!$B:$O,14,FALSE))))</f>
        <v/>
      </c>
      <c r="R113" s="119" t="str">
        <f t="shared" si="11"/>
        <v/>
      </c>
      <c r="S113" s="15"/>
      <c r="V113" s="70"/>
    </row>
    <row r="114" spans="1:22" x14ac:dyDescent="0.3">
      <c r="A114" s="84">
        <v>87</v>
      </c>
      <c r="B114" s="46"/>
      <c r="C114" s="88">
        <f>IF($F$10=" &lt;&lt;&lt; Select Index &gt;&gt;&gt;","",VLOOKUP(_xlfn.CONCAT($F$10,A114),PAB_CTB_Database!B:H,7,FALSE))</f>
        <v>47299</v>
      </c>
      <c r="D114" s="404" t="str">
        <f>IF($F$10=" &lt;&lt;&lt; Select Index &gt;&gt;&gt;","",IF(VLOOKUP($F$10&amp;$A114,PAB_CTB_Database!$B:$I,8,FALSE)=0,"",VLOOKUP($F$10&amp;$A114,PAB_CTB_Database!$B:$I,8,FALSE)))</f>
        <v/>
      </c>
      <c r="E114" s="405"/>
      <c r="F114" s="142" t="str">
        <f>IF($F$10=" &lt;&lt;&lt; Select Index &gt;&gt;&gt;","",IF(VLOOKUP($F$10&amp;$A114,PAB_CTB_Database!$B:$J,9,FALSE)=0,"",VLOOKUP($F$10&amp;$A114,PAB_CTB_Database!$B:$J,9,FALSE)))</f>
        <v/>
      </c>
      <c r="G114" s="142">
        <f>IF($F$10=" &lt;&lt;&lt; Select Index &gt;&gt;&gt;","",IF(VLOOKUP($F$10&amp;$A114,PAB_CTB_Database!$B:$K,10,FALSE)=0,"",VLOOKUP($F$10&amp;$A114,PAB_CTB_Database!$B:$K,10,FALSE)))</f>
        <v>11466584.455064958</v>
      </c>
      <c r="H114" s="143" t="str">
        <f>IF($F$10=" &lt;&lt;&lt; Select Index &gt;&gt;&gt;","",IF(F114="","",IF(VLOOKUP($F$10&amp;$A114,PAB_CTB_Database!$B:$L,11,FALSE)=0,"",VLOOKUP($F$10&amp;$A114,PAB_CTB_Database!$B:$L,11,FALSE))))</f>
        <v/>
      </c>
      <c r="I114" s="144" t="str">
        <f>IF($F$10=" &lt;&lt;&lt; Select Index &gt;&gt;&gt;","",IF(F114="","",IF(VLOOKUP($F$10&amp;$A114,PAB_CTB_Database!$B:$M,12,FALSE)=0,"",VLOOKUP($F$10&amp;$A114,PAB_CTB_Database!$B:$M,12,FALSE))))</f>
        <v/>
      </c>
      <c r="J114" s="145" t="str">
        <f>IF($F$10=" &lt;&lt;&lt; Select Index &gt;&gt;&gt;","",IF(VLOOKUP($F$10&amp;$A114,PAB_CTB_Database!$B:$N,13,FALSE)=0,"",VLOOKUP($F$10&amp;$A114,PAB_CTB_Database!$B:$N,13,FALSE)))</f>
        <v/>
      </c>
      <c r="K114" s="105" t="str">
        <f t="shared" si="6"/>
        <v/>
      </c>
      <c r="L114" s="115" t="str">
        <f t="shared" si="7"/>
        <v/>
      </c>
      <c r="M114" s="148" t="str">
        <f t="shared" si="8"/>
        <v/>
      </c>
      <c r="N114" s="115" t="str">
        <f t="shared" si="9"/>
        <v/>
      </c>
      <c r="O114" s="124" t="str">
        <f t="shared" si="10"/>
        <v/>
      </c>
      <c r="P114" s="110"/>
      <c r="Q114" s="118" t="str">
        <f>IF($F$10=" &lt;&lt;&lt; Select Index &gt;&gt;&gt;","",IF(D114="","",IF(VLOOKUP($F$10&amp;$A114,PAB_CTB_Database!$B:$O,14,FALSE)=0,"",VLOOKUP($F$10&amp;$A114,PAB_CTB_Database!$B:$O,14,FALSE))))</f>
        <v/>
      </c>
      <c r="R114" s="119" t="str">
        <f t="shared" si="11"/>
        <v/>
      </c>
      <c r="S114" s="15"/>
      <c r="V114" s="70"/>
    </row>
    <row r="115" spans="1:22" x14ac:dyDescent="0.3">
      <c r="A115" s="84">
        <v>88</v>
      </c>
      <c r="B115" s="46"/>
      <c r="C115" s="88">
        <f>IF($F$10=" &lt;&lt;&lt; Select Index &gt;&gt;&gt;","",VLOOKUP(_xlfn.CONCAT($F$10,A115),PAB_CTB_Database!B:H,7,FALSE))</f>
        <v>47330</v>
      </c>
      <c r="D115" s="404" t="str">
        <f>IF($F$10=" &lt;&lt;&lt; Select Index &gt;&gt;&gt;","",IF(VLOOKUP($F$10&amp;$A115,PAB_CTB_Database!$B:$I,8,FALSE)=0,"",VLOOKUP($F$10&amp;$A115,PAB_CTB_Database!$B:$I,8,FALSE)))</f>
        <v/>
      </c>
      <c r="E115" s="405"/>
      <c r="F115" s="142" t="str">
        <f>IF($F$10=" &lt;&lt;&lt; Select Index &gt;&gt;&gt;","",IF(VLOOKUP($F$10&amp;$A115,PAB_CTB_Database!$B:$J,9,FALSE)=0,"",VLOOKUP($F$10&amp;$A115,PAB_CTB_Database!$B:$J,9,FALSE)))</f>
        <v/>
      </c>
      <c r="G115" s="142">
        <f>IF($F$10=" &lt;&lt;&lt; Select Index &gt;&gt;&gt;","",IF(VLOOKUP($F$10&amp;$A115,PAB_CTB_Database!$B:$K,10,FALSE)=0,"",VLOOKUP($F$10&amp;$A115,PAB_CTB_Database!$B:$K,10,FALSE)))</f>
        <v>11397448.884919109</v>
      </c>
      <c r="H115" s="143" t="str">
        <f>IF($F$10=" &lt;&lt;&lt; Select Index &gt;&gt;&gt;","",IF(F115="","",IF(VLOOKUP($F$10&amp;$A115,PAB_CTB_Database!$B:$L,11,FALSE)=0,"",VLOOKUP($F$10&amp;$A115,PAB_CTB_Database!$B:$L,11,FALSE))))</f>
        <v/>
      </c>
      <c r="I115" s="144" t="str">
        <f>IF($F$10=" &lt;&lt;&lt; Select Index &gt;&gt;&gt;","",IF(F115="","",IF(VLOOKUP($F$10&amp;$A115,PAB_CTB_Database!$B:$M,12,FALSE)=0,"",VLOOKUP($F$10&amp;$A115,PAB_CTB_Database!$B:$M,12,FALSE))))</f>
        <v/>
      </c>
      <c r="J115" s="145" t="str">
        <f>IF($F$10=" &lt;&lt;&lt; Select Index &gt;&gt;&gt;","",IF(VLOOKUP($F$10&amp;$A115,PAB_CTB_Database!$B:$N,13,FALSE)=0,"",VLOOKUP($F$10&amp;$A115,PAB_CTB_Database!$B:$N,13,FALSE)))</f>
        <v/>
      </c>
      <c r="K115" s="105" t="str">
        <f t="shared" si="6"/>
        <v/>
      </c>
      <c r="L115" s="115" t="str">
        <f t="shared" si="7"/>
        <v/>
      </c>
      <c r="M115" s="148" t="str">
        <f t="shared" si="8"/>
        <v/>
      </c>
      <c r="N115" s="115" t="str">
        <f t="shared" si="9"/>
        <v/>
      </c>
      <c r="O115" s="124" t="str">
        <f t="shared" si="10"/>
        <v/>
      </c>
      <c r="P115" s="110"/>
      <c r="Q115" s="118" t="str">
        <f>IF($F$10=" &lt;&lt;&lt; Select Index &gt;&gt;&gt;","",IF(D115="","",IF(VLOOKUP($F$10&amp;$A115,PAB_CTB_Database!$B:$O,14,FALSE)=0,"",VLOOKUP($F$10&amp;$A115,PAB_CTB_Database!$B:$O,14,FALSE))))</f>
        <v/>
      </c>
      <c r="R115" s="119" t="str">
        <f t="shared" si="11"/>
        <v/>
      </c>
      <c r="S115" s="15"/>
      <c r="V115" s="70"/>
    </row>
    <row r="116" spans="1:22" x14ac:dyDescent="0.3">
      <c r="A116" s="84">
        <v>89</v>
      </c>
      <c r="B116" s="46"/>
      <c r="C116" s="88">
        <f>IF($F$10=" &lt;&lt;&lt; Select Index &gt;&gt;&gt;","",VLOOKUP(_xlfn.CONCAT($F$10,A116),PAB_CTB_Database!B:H,7,FALSE))</f>
        <v>47361</v>
      </c>
      <c r="D116" s="404" t="str">
        <f>IF($F$10=" &lt;&lt;&lt; Select Index &gt;&gt;&gt;","",IF(VLOOKUP($F$10&amp;$A116,PAB_CTB_Database!$B:$I,8,FALSE)=0,"",VLOOKUP($F$10&amp;$A116,PAB_CTB_Database!$B:$I,8,FALSE)))</f>
        <v/>
      </c>
      <c r="E116" s="405"/>
      <c r="F116" s="142" t="str">
        <f>IF($F$10=" &lt;&lt;&lt; Select Index &gt;&gt;&gt;","",IF(VLOOKUP($F$10&amp;$A116,PAB_CTB_Database!$B:$J,9,FALSE)=0,"",VLOOKUP($F$10&amp;$A116,PAB_CTB_Database!$B:$J,9,FALSE)))</f>
        <v/>
      </c>
      <c r="G116" s="142">
        <f>IF($F$10=" &lt;&lt;&lt; Select Index &gt;&gt;&gt;","",IF(VLOOKUP($F$10&amp;$A116,PAB_CTB_Database!$B:$K,10,FALSE)=0,"",VLOOKUP($F$10&amp;$A116,PAB_CTB_Database!$B:$K,10,FALSE)))</f>
        <v>11328730.154423997</v>
      </c>
      <c r="H116" s="143" t="str">
        <f>IF($F$10=" &lt;&lt;&lt; Select Index &gt;&gt;&gt;","",IF(F116="","",IF(VLOOKUP($F$10&amp;$A116,PAB_CTB_Database!$B:$L,11,FALSE)=0,"",VLOOKUP($F$10&amp;$A116,PAB_CTB_Database!$B:$L,11,FALSE))))</f>
        <v/>
      </c>
      <c r="I116" s="144" t="str">
        <f>IF($F$10=" &lt;&lt;&lt; Select Index &gt;&gt;&gt;","",IF(F116="","",IF(VLOOKUP($F$10&amp;$A116,PAB_CTB_Database!$B:$M,12,FALSE)=0,"",VLOOKUP($F$10&amp;$A116,PAB_CTB_Database!$B:$M,12,FALSE))))</f>
        <v/>
      </c>
      <c r="J116" s="145" t="str">
        <f>IF($F$10=" &lt;&lt;&lt; Select Index &gt;&gt;&gt;","",IF(VLOOKUP($F$10&amp;$A116,PAB_CTB_Database!$B:$N,13,FALSE)=0,"",VLOOKUP($F$10&amp;$A116,PAB_CTB_Database!$B:$N,13,FALSE)))</f>
        <v/>
      </c>
      <c r="K116" s="105" t="str">
        <f t="shared" si="6"/>
        <v/>
      </c>
      <c r="L116" s="115" t="str">
        <f t="shared" si="7"/>
        <v/>
      </c>
      <c r="M116" s="148" t="str">
        <f t="shared" si="8"/>
        <v/>
      </c>
      <c r="N116" s="115" t="str">
        <f t="shared" si="9"/>
        <v/>
      </c>
      <c r="O116" s="124" t="str">
        <f t="shared" si="10"/>
        <v/>
      </c>
      <c r="P116" s="110"/>
      <c r="Q116" s="118" t="str">
        <f>IF($F$10=" &lt;&lt;&lt; Select Index &gt;&gt;&gt;","",IF(D116="","",IF(VLOOKUP($F$10&amp;$A116,PAB_CTB_Database!$B:$O,14,FALSE)=0,"",VLOOKUP($F$10&amp;$A116,PAB_CTB_Database!$B:$O,14,FALSE))))</f>
        <v/>
      </c>
      <c r="R116" s="119" t="str">
        <f t="shared" si="11"/>
        <v/>
      </c>
      <c r="S116" s="15"/>
    </row>
    <row r="117" spans="1:22" x14ac:dyDescent="0.3">
      <c r="A117" s="84">
        <v>90</v>
      </c>
      <c r="B117" s="46"/>
      <c r="C117" s="88">
        <f>IF($F$10=" &lt;&lt;&lt; Select Index &gt;&gt;&gt;","",VLOOKUP(_xlfn.CONCAT($F$10,A117),PAB_CTB_Database!B:H,7,FALSE))</f>
        <v>47391</v>
      </c>
      <c r="D117" s="404" t="str">
        <f>IF($F$10=" &lt;&lt;&lt; Select Index &gt;&gt;&gt;","",IF(VLOOKUP($F$10&amp;$A117,PAB_CTB_Database!$B:$I,8,FALSE)=0,"",VLOOKUP($F$10&amp;$A117,PAB_CTB_Database!$B:$I,8,FALSE)))</f>
        <v/>
      </c>
      <c r="E117" s="405"/>
      <c r="F117" s="142" t="str">
        <f>IF($F$10=" &lt;&lt;&lt; Select Index &gt;&gt;&gt;","",IF(VLOOKUP($F$10&amp;$A117,PAB_CTB_Database!$B:$J,9,FALSE)=0,"",VLOOKUP($F$10&amp;$A117,PAB_CTB_Database!$B:$J,9,FALSE)))</f>
        <v/>
      </c>
      <c r="G117" s="142">
        <f>IF($F$10=" &lt;&lt;&lt; Select Index &gt;&gt;&gt;","",IF(VLOOKUP($F$10&amp;$A117,PAB_CTB_Database!$B:$K,10,FALSE)=0,"",VLOOKUP($F$10&amp;$A117,PAB_CTB_Database!$B:$K,10,FALSE)))</f>
        <v>11260425.750324953</v>
      </c>
      <c r="H117" s="143" t="str">
        <f>IF($F$10=" &lt;&lt;&lt; Select Index &gt;&gt;&gt;","",IF(F117="","",IF(VLOOKUP($F$10&amp;$A117,PAB_CTB_Database!$B:$L,11,FALSE)=0,"",VLOOKUP($F$10&amp;$A117,PAB_CTB_Database!$B:$L,11,FALSE))))</f>
        <v/>
      </c>
      <c r="I117" s="144" t="str">
        <f>IF($F$10=" &lt;&lt;&lt; Select Index &gt;&gt;&gt;","",IF(F117="","",IF(VLOOKUP($F$10&amp;$A117,PAB_CTB_Database!$B:$M,12,FALSE)=0,"",VLOOKUP($F$10&amp;$A117,PAB_CTB_Database!$B:$M,12,FALSE))))</f>
        <v/>
      </c>
      <c r="J117" s="145" t="str">
        <f>IF($F$10=" &lt;&lt;&lt; Select Index &gt;&gt;&gt;","",IF(VLOOKUP($F$10&amp;$A117,PAB_CTB_Database!$B:$N,13,FALSE)=0,"",VLOOKUP($F$10&amp;$A117,PAB_CTB_Database!$B:$N,13,FALSE)))</f>
        <v/>
      </c>
      <c r="K117" s="105" t="str">
        <f t="shared" si="6"/>
        <v/>
      </c>
      <c r="L117" s="115" t="str">
        <f t="shared" si="7"/>
        <v/>
      </c>
      <c r="M117" s="148" t="str">
        <f t="shared" si="8"/>
        <v/>
      </c>
      <c r="N117" s="115" t="str">
        <f t="shared" si="9"/>
        <v/>
      </c>
      <c r="O117" s="124" t="str">
        <f t="shared" si="10"/>
        <v/>
      </c>
      <c r="P117" s="110"/>
      <c r="Q117" s="118" t="str">
        <f>IF($F$10=" &lt;&lt;&lt; Select Index &gt;&gt;&gt;","",IF(D117="","",IF(VLOOKUP($F$10&amp;$A117,PAB_CTB_Database!$B:$O,14,FALSE)=0,"",VLOOKUP($F$10&amp;$A117,PAB_CTB_Database!$B:$O,14,FALSE))))</f>
        <v/>
      </c>
      <c r="R117" s="119" t="str">
        <f t="shared" si="11"/>
        <v/>
      </c>
      <c r="S117" s="15"/>
    </row>
    <row r="118" spans="1:22" x14ac:dyDescent="0.3">
      <c r="A118" s="84">
        <v>91</v>
      </c>
      <c r="B118" s="46"/>
      <c r="C118" s="88">
        <f>IF($F$10=" &lt;&lt;&lt; Select Index &gt;&gt;&gt;","",VLOOKUP(_xlfn.CONCAT($F$10,A118),PAB_CTB_Database!B:H,7,FALSE))</f>
        <v>47422</v>
      </c>
      <c r="D118" s="404" t="str">
        <f>IF($F$10=" &lt;&lt;&lt; Select Index &gt;&gt;&gt;","",IF(VLOOKUP($F$10&amp;$A118,PAB_CTB_Database!$B:$I,8,FALSE)=0,"",VLOOKUP($F$10&amp;$A118,PAB_CTB_Database!$B:$I,8,FALSE)))</f>
        <v/>
      </c>
      <c r="E118" s="405"/>
      <c r="F118" s="142" t="str">
        <f>IF($F$10=" &lt;&lt;&lt; Select Index &gt;&gt;&gt;","",IF(VLOOKUP($F$10&amp;$A118,PAB_CTB_Database!$B:$J,9,FALSE)=0,"",VLOOKUP($F$10&amp;$A118,PAB_CTB_Database!$B:$J,9,FALSE)))</f>
        <v/>
      </c>
      <c r="G118" s="142">
        <f>IF($F$10=" &lt;&lt;&lt; Select Index &gt;&gt;&gt;","",IF(VLOOKUP($F$10&amp;$A118,PAB_CTB_Database!$B:$K,10,FALSE)=0,"",VLOOKUP($F$10&amp;$A118,PAB_CTB_Database!$B:$K,10,FALSE)))</f>
        <v>11192533.174520494</v>
      </c>
      <c r="H118" s="143" t="str">
        <f>IF($F$10=" &lt;&lt;&lt; Select Index &gt;&gt;&gt;","",IF(F118="","",IF(VLOOKUP($F$10&amp;$A118,PAB_CTB_Database!$B:$L,11,FALSE)=0,"",VLOOKUP($F$10&amp;$A118,PAB_CTB_Database!$B:$L,11,FALSE))))</f>
        <v/>
      </c>
      <c r="I118" s="144" t="str">
        <f>IF($F$10=" &lt;&lt;&lt; Select Index &gt;&gt;&gt;","",IF(F118="","",IF(VLOOKUP($F$10&amp;$A118,PAB_CTB_Database!$B:$M,12,FALSE)=0,"",VLOOKUP($F$10&amp;$A118,PAB_CTB_Database!$B:$M,12,FALSE))))</f>
        <v/>
      </c>
      <c r="J118" s="145" t="str">
        <f>IF($F$10=" &lt;&lt;&lt; Select Index &gt;&gt;&gt;","",IF(VLOOKUP($F$10&amp;$A118,PAB_CTB_Database!$B:$N,13,FALSE)=0,"",VLOOKUP($F$10&amp;$A118,PAB_CTB_Database!$B:$N,13,FALSE)))</f>
        <v/>
      </c>
      <c r="K118" s="105" t="str">
        <f t="shared" si="6"/>
        <v/>
      </c>
      <c r="L118" s="115" t="str">
        <f t="shared" si="7"/>
        <v/>
      </c>
      <c r="M118" s="148" t="str">
        <f t="shared" si="8"/>
        <v/>
      </c>
      <c r="N118" s="115" t="str">
        <f t="shared" si="9"/>
        <v/>
      </c>
      <c r="O118" s="124" t="str">
        <f t="shared" si="10"/>
        <v/>
      </c>
      <c r="P118" s="110"/>
      <c r="Q118" s="118" t="str">
        <f>IF($F$10=" &lt;&lt;&lt; Select Index &gt;&gt;&gt;","",IF(D118="","",IF(VLOOKUP($F$10&amp;$A118,PAB_CTB_Database!$B:$O,14,FALSE)=0,"",VLOOKUP($F$10&amp;$A118,PAB_CTB_Database!$B:$O,14,FALSE))))</f>
        <v/>
      </c>
      <c r="R118" s="119" t="str">
        <f t="shared" si="11"/>
        <v/>
      </c>
      <c r="S118" s="15"/>
    </row>
    <row r="119" spans="1:22" x14ac:dyDescent="0.3">
      <c r="A119" s="84">
        <v>92</v>
      </c>
      <c r="B119" s="46"/>
      <c r="C119" s="88">
        <f>IF($F$10=" &lt;&lt;&lt; Select Index &gt;&gt;&gt;","",VLOOKUP(_xlfn.CONCAT($F$10,A119),PAB_CTB_Database!B:H,7,FALSE))</f>
        <v>47452</v>
      </c>
      <c r="D119" s="404" t="str">
        <f>IF($F$10=" &lt;&lt;&lt; Select Index &gt;&gt;&gt;","",IF(VLOOKUP($F$10&amp;$A119,PAB_CTB_Database!$B:$I,8,FALSE)=0,"",VLOOKUP($F$10&amp;$A119,PAB_CTB_Database!$B:$I,8,FALSE)))</f>
        <v/>
      </c>
      <c r="E119" s="405"/>
      <c r="F119" s="142" t="str">
        <f>IF($F$10=" &lt;&lt;&lt; Select Index &gt;&gt;&gt;","",IF(VLOOKUP($F$10&amp;$A119,PAB_CTB_Database!$B:$J,9,FALSE)=0,"",VLOOKUP($F$10&amp;$A119,PAB_CTB_Database!$B:$J,9,FALSE)))</f>
        <v/>
      </c>
      <c r="G119" s="142">
        <f>IF($F$10=" &lt;&lt;&lt; Select Index &gt;&gt;&gt;","",IF(VLOOKUP($F$10&amp;$A119,PAB_CTB_Database!$B:$K,10,FALSE)=0,"",VLOOKUP($F$10&amp;$A119,PAB_CTB_Database!$B:$K,10,FALSE)))</f>
        <v>11125049.943970967</v>
      </c>
      <c r="H119" s="143" t="str">
        <f>IF($F$10=" &lt;&lt;&lt; Select Index &gt;&gt;&gt;","",IF(F119="","",IF(VLOOKUP($F$10&amp;$A119,PAB_CTB_Database!$B:$L,11,FALSE)=0,"",VLOOKUP($F$10&amp;$A119,PAB_CTB_Database!$B:$L,11,FALSE))))</f>
        <v/>
      </c>
      <c r="I119" s="144" t="str">
        <f>IF($F$10=" &lt;&lt;&lt; Select Index &gt;&gt;&gt;","",IF(F119="","",IF(VLOOKUP($F$10&amp;$A119,PAB_CTB_Database!$B:$M,12,FALSE)=0,"",VLOOKUP($F$10&amp;$A119,PAB_CTB_Database!$B:$M,12,FALSE))))</f>
        <v/>
      </c>
      <c r="J119" s="145" t="str">
        <f>IF($F$10=" &lt;&lt;&lt; Select Index &gt;&gt;&gt;","",IF(VLOOKUP($F$10&amp;$A119,PAB_CTB_Database!$B:$N,13,FALSE)=0,"",VLOOKUP($F$10&amp;$A119,PAB_CTB_Database!$B:$N,13,FALSE)))</f>
        <v/>
      </c>
      <c r="K119" s="105" t="str">
        <f t="shared" si="6"/>
        <v/>
      </c>
      <c r="L119" s="115" t="str">
        <f t="shared" si="7"/>
        <v/>
      </c>
      <c r="M119" s="148" t="str">
        <f t="shared" si="8"/>
        <v/>
      </c>
      <c r="N119" s="115" t="str">
        <f t="shared" si="9"/>
        <v/>
      </c>
      <c r="O119" s="124" t="str">
        <f t="shared" si="10"/>
        <v/>
      </c>
      <c r="P119" s="110"/>
      <c r="Q119" s="118" t="str">
        <f>IF($F$10=" &lt;&lt;&lt; Select Index &gt;&gt;&gt;","",IF(D119="","",IF(VLOOKUP($F$10&amp;$A119,PAB_CTB_Database!$B:$O,14,FALSE)=0,"",VLOOKUP($F$10&amp;$A119,PAB_CTB_Database!$B:$O,14,FALSE))))</f>
        <v/>
      </c>
      <c r="R119" s="119" t="str">
        <f t="shared" si="11"/>
        <v/>
      </c>
      <c r="S119" s="15"/>
    </row>
    <row r="120" spans="1:22" x14ac:dyDescent="0.3">
      <c r="A120" s="84">
        <v>93</v>
      </c>
      <c r="B120" s="46"/>
      <c r="C120" s="88">
        <f>IF($F$10=" &lt;&lt;&lt; Select Index &gt;&gt;&gt;","",VLOOKUP(_xlfn.CONCAT($F$10,A120),PAB_CTB_Database!B:H,7,FALSE))</f>
        <v>47483</v>
      </c>
      <c r="D120" s="404" t="str">
        <f>IF($F$10=" &lt;&lt;&lt; Select Index &gt;&gt;&gt;","",IF(VLOOKUP($F$10&amp;$A120,PAB_CTB_Database!$B:$I,8,FALSE)=0,"",VLOOKUP($F$10&amp;$A120,PAB_CTB_Database!$B:$I,8,FALSE)))</f>
        <v/>
      </c>
      <c r="E120" s="405"/>
      <c r="F120" s="142" t="str">
        <f>IF($F$10=" &lt;&lt;&lt; Select Index &gt;&gt;&gt;","",IF(VLOOKUP($F$10&amp;$A120,PAB_CTB_Database!$B:$J,9,FALSE)=0,"",VLOOKUP($F$10&amp;$A120,PAB_CTB_Database!$B:$J,9,FALSE)))</f>
        <v/>
      </c>
      <c r="G120" s="142">
        <f>IF($F$10=" &lt;&lt;&lt; Select Index &gt;&gt;&gt;","",IF(VLOOKUP($F$10&amp;$A120,PAB_CTB_Database!$B:$K,10,FALSE)=0,"",VLOOKUP($F$10&amp;$A120,PAB_CTB_Database!$B:$K,10,FALSE)))</f>
        <v>11057973.590607718</v>
      </c>
      <c r="H120" s="143" t="str">
        <f>IF($F$10=" &lt;&lt;&lt; Select Index &gt;&gt;&gt;","",IF(F120="","",IF(VLOOKUP($F$10&amp;$A120,PAB_CTB_Database!$B:$L,11,FALSE)=0,"",VLOOKUP($F$10&amp;$A120,PAB_CTB_Database!$B:$L,11,FALSE))))</f>
        <v/>
      </c>
      <c r="I120" s="144" t="str">
        <f>IF($F$10=" &lt;&lt;&lt; Select Index &gt;&gt;&gt;","",IF(F120="","",IF(VLOOKUP($F$10&amp;$A120,PAB_CTB_Database!$B:$M,12,FALSE)=0,"",VLOOKUP($F$10&amp;$A120,PAB_CTB_Database!$B:$M,12,FALSE))))</f>
        <v/>
      </c>
      <c r="J120" s="145" t="str">
        <f>IF($F$10=" &lt;&lt;&lt; Select Index &gt;&gt;&gt;","",IF(VLOOKUP($F$10&amp;$A120,PAB_CTB_Database!$B:$N,13,FALSE)=0,"",VLOOKUP($F$10&amp;$A120,PAB_CTB_Database!$B:$N,13,FALSE)))</f>
        <v/>
      </c>
      <c r="K120" s="105" t="str">
        <f t="shared" si="6"/>
        <v/>
      </c>
      <c r="L120" s="115" t="str">
        <f t="shared" si="7"/>
        <v/>
      </c>
      <c r="M120" s="148" t="str">
        <f t="shared" si="8"/>
        <v/>
      </c>
      <c r="N120" s="115" t="str">
        <f t="shared" si="9"/>
        <v/>
      </c>
      <c r="O120" s="124" t="str">
        <f t="shared" si="10"/>
        <v/>
      </c>
      <c r="P120" s="110"/>
      <c r="Q120" s="118" t="str">
        <f>IF($F$10=" &lt;&lt;&lt; Select Index &gt;&gt;&gt;","",IF(D120="","",IF(VLOOKUP($F$10&amp;$A120,PAB_CTB_Database!$B:$O,14,FALSE)=0,"",VLOOKUP($F$10&amp;$A120,PAB_CTB_Database!$B:$O,14,FALSE))))</f>
        <v/>
      </c>
      <c r="R120" s="119" t="str">
        <f t="shared" si="11"/>
        <v/>
      </c>
      <c r="S120" s="15"/>
    </row>
    <row r="121" spans="1:22" x14ac:dyDescent="0.3">
      <c r="A121" s="84">
        <v>94</v>
      </c>
      <c r="B121" s="46"/>
      <c r="C121" s="88">
        <f>IF($F$10=" &lt;&lt;&lt; Select Index &gt;&gt;&gt;","",VLOOKUP(_xlfn.CONCAT($F$10,A121),PAB_CTB_Database!B:H,7,FALSE))</f>
        <v>47514</v>
      </c>
      <c r="D121" s="404" t="str">
        <f>IF($F$10=" &lt;&lt;&lt; Select Index &gt;&gt;&gt;","",IF(VLOOKUP($F$10&amp;$A121,PAB_CTB_Database!$B:$I,8,FALSE)=0,"",VLOOKUP($F$10&amp;$A121,PAB_CTB_Database!$B:$I,8,FALSE)))</f>
        <v/>
      </c>
      <c r="E121" s="405"/>
      <c r="F121" s="142" t="str">
        <f>IF($F$10=" &lt;&lt;&lt; Select Index &gt;&gt;&gt;","",IF(VLOOKUP($F$10&amp;$A121,PAB_CTB_Database!$B:$J,9,FALSE)=0,"",VLOOKUP($F$10&amp;$A121,PAB_CTB_Database!$B:$J,9,FALSE)))</f>
        <v/>
      </c>
      <c r="G121" s="142">
        <f>IF($F$10=" &lt;&lt;&lt; Select Index &gt;&gt;&gt;","",IF(VLOOKUP($F$10&amp;$A121,PAB_CTB_Database!$B:$K,10,FALSE)=0,"",VLOOKUP($F$10&amp;$A121,PAB_CTB_Database!$B:$K,10,FALSE)))</f>
        <v>10991301.661242846</v>
      </c>
      <c r="H121" s="143" t="str">
        <f>IF($F$10=" &lt;&lt;&lt; Select Index &gt;&gt;&gt;","",IF(F121="","",IF(VLOOKUP($F$10&amp;$A121,PAB_CTB_Database!$B:$L,11,FALSE)=0,"",VLOOKUP($F$10&amp;$A121,PAB_CTB_Database!$B:$L,11,FALSE))))</f>
        <v/>
      </c>
      <c r="I121" s="144" t="str">
        <f>IF($F$10=" &lt;&lt;&lt; Select Index &gt;&gt;&gt;","",IF(F121="","",IF(VLOOKUP($F$10&amp;$A121,PAB_CTB_Database!$B:$M,12,FALSE)=0,"",VLOOKUP($F$10&amp;$A121,PAB_CTB_Database!$B:$M,12,FALSE))))</f>
        <v/>
      </c>
      <c r="J121" s="145" t="str">
        <f>IF($F$10=" &lt;&lt;&lt; Select Index &gt;&gt;&gt;","",IF(VLOOKUP($F$10&amp;$A121,PAB_CTB_Database!$B:$N,13,FALSE)=0,"",VLOOKUP($F$10&amp;$A121,PAB_CTB_Database!$B:$N,13,FALSE)))</f>
        <v/>
      </c>
      <c r="K121" s="105" t="str">
        <f t="shared" si="6"/>
        <v/>
      </c>
      <c r="L121" s="115" t="str">
        <f t="shared" si="7"/>
        <v/>
      </c>
      <c r="M121" s="148" t="str">
        <f t="shared" si="8"/>
        <v/>
      </c>
      <c r="N121" s="115" t="str">
        <f t="shared" si="9"/>
        <v/>
      </c>
      <c r="O121" s="124" t="str">
        <f t="shared" si="10"/>
        <v/>
      </c>
      <c r="P121" s="110"/>
      <c r="Q121" s="118" t="str">
        <f>IF($F$10=" &lt;&lt;&lt; Select Index &gt;&gt;&gt;","",IF(D121="","",IF(VLOOKUP($F$10&amp;$A121,PAB_CTB_Database!$B:$O,14,FALSE)=0,"",VLOOKUP($F$10&amp;$A121,PAB_CTB_Database!$B:$O,14,FALSE))))</f>
        <v/>
      </c>
      <c r="R121" s="119" t="str">
        <f t="shared" si="11"/>
        <v/>
      </c>
      <c r="S121" s="15"/>
    </row>
    <row r="122" spans="1:22" x14ac:dyDescent="0.3">
      <c r="A122" s="84">
        <v>95</v>
      </c>
      <c r="B122" s="46"/>
      <c r="C122" s="88">
        <f>IF($F$10=" &lt;&lt;&lt; Select Index &gt;&gt;&gt;","",VLOOKUP(_xlfn.CONCAT($F$10,A122),PAB_CTB_Database!B:H,7,FALSE))</f>
        <v>47542</v>
      </c>
      <c r="D122" s="404" t="str">
        <f>IF($F$10=" &lt;&lt;&lt; Select Index &gt;&gt;&gt;","",IF(VLOOKUP($F$10&amp;$A122,PAB_CTB_Database!$B:$I,8,FALSE)=0,"",VLOOKUP($F$10&amp;$A122,PAB_CTB_Database!$B:$I,8,FALSE)))</f>
        <v/>
      </c>
      <c r="E122" s="405"/>
      <c r="F122" s="142" t="str">
        <f>IF($F$10=" &lt;&lt;&lt; Select Index &gt;&gt;&gt;","",IF(VLOOKUP($F$10&amp;$A122,PAB_CTB_Database!$B:$J,9,FALSE)=0,"",VLOOKUP($F$10&amp;$A122,PAB_CTB_Database!$B:$J,9,FALSE)))</f>
        <v/>
      </c>
      <c r="G122" s="142">
        <f>IF($F$10=" &lt;&lt;&lt; Select Index &gt;&gt;&gt;","",IF(VLOOKUP($F$10&amp;$A122,PAB_CTB_Database!$B:$K,10,FALSE)=0,"",VLOOKUP($F$10&amp;$A122,PAB_CTB_Database!$B:$K,10,FALSE)))</f>
        <v>10925031.717479482</v>
      </c>
      <c r="H122" s="143" t="str">
        <f>IF($F$10=" &lt;&lt;&lt; Select Index &gt;&gt;&gt;","",IF(F122="","",IF(VLOOKUP($F$10&amp;$A122,PAB_CTB_Database!$B:$L,11,FALSE)=0,"",VLOOKUP($F$10&amp;$A122,PAB_CTB_Database!$B:$L,11,FALSE))))</f>
        <v/>
      </c>
      <c r="I122" s="144" t="str">
        <f>IF($F$10=" &lt;&lt;&lt; Select Index &gt;&gt;&gt;","",IF(F122="","",IF(VLOOKUP($F$10&amp;$A122,PAB_CTB_Database!$B:$M,12,FALSE)=0,"",VLOOKUP($F$10&amp;$A122,PAB_CTB_Database!$B:$M,12,FALSE))))</f>
        <v/>
      </c>
      <c r="J122" s="145" t="str">
        <f>IF($F$10=" &lt;&lt;&lt; Select Index &gt;&gt;&gt;","",IF(VLOOKUP($F$10&amp;$A122,PAB_CTB_Database!$B:$N,13,FALSE)=0,"",VLOOKUP($F$10&amp;$A122,PAB_CTB_Database!$B:$N,13,FALSE)))</f>
        <v/>
      </c>
      <c r="K122" s="105" t="str">
        <f t="shared" si="6"/>
        <v/>
      </c>
      <c r="L122" s="115" t="str">
        <f t="shared" si="7"/>
        <v/>
      </c>
      <c r="M122" s="148" t="str">
        <f t="shared" si="8"/>
        <v/>
      </c>
      <c r="N122" s="115" t="str">
        <f t="shared" si="9"/>
        <v/>
      </c>
      <c r="O122" s="124" t="str">
        <f t="shared" si="10"/>
        <v/>
      </c>
      <c r="P122" s="110"/>
      <c r="Q122" s="118" t="str">
        <f>IF($F$10=" &lt;&lt;&lt; Select Index &gt;&gt;&gt;","",IF(D122="","",IF(VLOOKUP($F$10&amp;$A122,PAB_CTB_Database!$B:$O,14,FALSE)=0,"",VLOOKUP($F$10&amp;$A122,PAB_CTB_Database!$B:$O,14,FALSE))))</f>
        <v/>
      </c>
      <c r="R122" s="119" t="str">
        <f t="shared" si="11"/>
        <v/>
      </c>
      <c r="S122" s="15"/>
    </row>
    <row r="123" spans="1:22" x14ac:dyDescent="0.3">
      <c r="A123" s="84">
        <v>96</v>
      </c>
      <c r="B123" s="46"/>
      <c r="C123" s="88">
        <f>IF($F$10=" &lt;&lt;&lt; Select Index &gt;&gt;&gt;","",VLOOKUP(_xlfn.CONCAT($F$10,A123),PAB_CTB_Database!B:H,7,FALSE))</f>
        <v>47573</v>
      </c>
      <c r="D123" s="404" t="str">
        <f>IF($F$10=" &lt;&lt;&lt; Select Index &gt;&gt;&gt;","",IF(VLOOKUP($F$10&amp;$A123,PAB_CTB_Database!$B:$I,8,FALSE)=0,"",VLOOKUP($F$10&amp;$A123,PAB_CTB_Database!$B:$I,8,FALSE)))</f>
        <v/>
      </c>
      <c r="E123" s="405"/>
      <c r="F123" s="142" t="str">
        <f>IF($F$10=" &lt;&lt;&lt; Select Index &gt;&gt;&gt;","",IF(VLOOKUP($F$10&amp;$A123,PAB_CTB_Database!$B:$J,9,FALSE)=0,"",VLOOKUP($F$10&amp;$A123,PAB_CTB_Database!$B:$J,9,FALSE)))</f>
        <v/>
      </c>
      <c r="G123" s="142">
        <f>IF($F$10=" &lt;&lt;&lt; Select Index &gt;&gt;&gt;","",IF(VLOOKUP($F$10&amp;$A123,PAB_CTB_Database!$B:$K,10,FALSE)=0,"",VLOOKUP($F$10&amp;$A123,PAB_CTB_Database!$B:$K,10,FALSE)))</f>
        <v>10859161.335622592</v>
      </c>
      <c r="H123" s="143" t="str">
        <f>IF($F$10=" &lt;&lt;&lt; Select Index &gt;&gt;&gt;","",IF(F123="","",IF(VLOOKUP($F$10&amp;$A123,PAB_CTB_Database!$B:$L,11,FALSE)=0,"",VLOOKUP($F$10&amp;$A123,PAB_CTB_Database!$B:$L,11,FALSE))))</f>
        <v/>
      </c>
      <c r="I123" s="144" t="str">
        <f>IF($F$10=" &lt;&lt;&lt; Select Index &gt;&gt;&gt;","",IF(F123="","",IF(VLOOKUP($F$10&amp;$A123,PAB_CTB_Database!$B:$M,12,FALSE)=0,"",VLOOKUP($F$10&amp;$A123,PAB_CTB_Database!$B:$M,12,FALSE))))</f>
        <v/>
      </c>
      <c r="J123" s="145" t="str">
        <f>IF($F$10=" &lt;&lt;&lt; Select Index &gt;&gt;&gt;","",IF(VLOOKUP($F$10&amp;$A123,PAB_CTB_Database!$B:$N,13,FALSE)=0,"",VLOOKUP($F$10&amp;$A123,PAB_CTB_Database!$B:$N,13,FALSE)))</f>
        <v/>
      </c>
      <c r="K123" s="105" t="str">
        <f t="shared" si="6"/>
        <v/>
      </c>
      <c r="L123" s="115" t="str">
        <f t="shared" si="7"/>
        <v/>
      </c>
      <c r="M123" s="148" t="str">
        <f t="shared" si="8"/>
        <v/>
      </c>
      <c r="N123" s="115" t="str">
        <f t="shared" si="9"/>
        <v/>
      </c>
      <c r="O123" s="124" t="str">
        <f t="shared" si="10"/>
        <v/>
      </c>
      <c r="P123" s="110"/>
      <c r="Q123" s="118" t="str">
        <f>IF($F$10=" &lt;&lt;&lt; Select Index &gt;&gt;&gt;","",IF(D123="","",IF(VLOOKUP($F$10&amp;$A123,PAB_CTB_Database!$B:$O,14,FALSE)=0,"",VLOOKUP($F$10&amp;$A123,PAB_CTB_Database!$B:$O,14,FALSE))))</f>
        <v/>
      </c>
      <c r="R123" s="119" t="str">
        <f t="shared" si="11"/>
        <v/>
      </c>
      <c r="S123" s="15"/>
    </row>
    <row r="124" spans="1:22" x14ac:dyDescent="0.3">
      <c r="A124" s="84">
        <v>97</v>
      </c>
      <c r="B124" s="46"/>
      <c r="C124" s="88">
        <f>IF($F$10=" &lt;&lt;&lt; Select Index &gt;&gt;&gt;","",VLOOKUP(_xlfn.CONCAT($F$10,A124),PAB_CTB_Database!B:H,7,FALSE))</f>
        <v>47603</v>
      </c>
      <c r="D124" s="404" t="str">
        <f>IF($F$10=" &lt;&lt;&lt; Select Index &gt;&gt;&gt;","",IF(VLOOKUP($F$10&amp;$A124,PAB_CTB_Database!$B:$I,8,FALSE)=0,"",VLOOKUP($F$10&amp;$A124,PAB_CTB_Database!$B:$I,8,FALSE)))</f>
        <v/>
      </c>
      <c r="E124" s="405"/>
      <c r="F124" s="142" t="str">
        <f>IF($F$10=" &lt;&lt;&lt; Select Index &gt;&gt;&gt;","",IF(VLOOKUP($F$10&amp;$A124,PAB_CTB_Database!$B:$J,9,FALSE)=0,"",VLOOKUP($F$10&amp;$A124,PAB_CTB_Database!$B:$J,9,FALSE)))</f>
        <v/>
      </c>
      <c r="G124" s="142">
        <f>IF($F$10=" &lt;&lt;&lt; Select Index &gt;&gt;&gt;","",IF(VLOOKUP($F$10&amp;$A124,PAB_CTB_Database!$B:$K,10,FALSE)=0,"",VLOOKUP($F$10&amp;$A124,PAB_CTB_Database!$B:$K,10,FALSE)))</f>
        <v>10793688.106590346</v>
      </c>
      <c r="H124" s="143" t="str">
        <f>IF($F$10=" &lt;&lt;&lt; Select Index &gt;&gt;&gt;","",IF(F124="","",IF(VLOOKUP($F$10&amp;$A124,PAB_CTB_Database!$B:$L,11,FALSE)=0,"",VLOOKUP($F$10&amp;$A124,PAB_CTB_Database!$B:$L,11,FALSE))))</f>
        <v/>
      </c>
      <c r="I124" s="144" t="str">
        <f>IF($F$10=" &lt;&lt;&lt; Select Index &gt;&gt;&gt;","",IF(F124="","",IF(VLOOKUP($F$10&amp;$A124,PAB_CTB_Database!$B:$M,12,FALSE)=0,"",VLOOKUP($F$10&amp;$A124,PAB_CTB_Database!$B:$M,12,FALSE))))</f>
        <v/>
      </c>
      <c r="J124" s="145" t="str">
        <f>IF($F$10=" &lt;&lt;&lt; Select Index &gt;&gt;&gt;","",IF(VLOOKUP($F$10&amp;$A124,PAB_CTB_Database!$B:$N,13,FALSE)=0,"",VLOOKUP($F$10&amp;$A124,PAB_CTB_Database!$B:$N,13,FALSE)))</f>
        <v/>
      </c>
      <c r="K124" s="105" t="str">
        <f t="shared" si="6"/>
        <v/>
      </c>
      <c r="L124" s="115" t="str">
        <f t="shared" si="7"/>
        <v/>
      </c>
      <c r="M124" s="148" t="str">
        <f t="shared" si="8"/>
        <v/>
      </c>
      <c r="N124" s="115" t="str">
        <f t="shared" si="9"/>
        <v/>
      </c>
      <c r="O124" s="124" t="str">
        <f t="shared" si="10"/>
        <v/>
      </c>
      <c r="P124" s="110"/>
      <c r="Q124" s="118" t="str">
        <f>IF($F$10=" &lt;&lt;&lt; Select Index &gt;&gt;&gt;","",IF(D124="","",IF(VLOOKUP($F$10&amp;$A124,PAB_CTB_Database!$B:$O,14,FALSE)=0,"",VLOOKUP($F$10&amp;$A124,PAB_CTB_Database!$B:$O,14,FALSE))))</f>
        <v/>
      </c>
      <c r="R124" s="119" t="str">
        <f t="shared" si="11"/>
        <v/>
      </c>
      <c r="S124" s="15"/>
    </row>
    <row r="125" spans="1:22" x14ac:dyDescent="0.3">
      <c r="A125" s="84">
        <v>98</v>
      </c>
      <c r="B125" s="46"/>
      <c r="C125" s="88">
        <f>IF($F$10=" &lt;&lt;&lt; Select Index &gt;&gt;&gt;","",VLOOKUP(_xlfn.CONCAT($F$10,A125),PAB_CTB_Database!B:H,7,FALSE))</f>
        <v>47634</v>
      </c>
      <c r="D125" s="404" t="str">
        <f>IF($F$10=" &lt;&lt;&lt; Select Index &gt;&gt;&gt;","",IF(VLOOKUP($F$10&amp;$A125,PAB_CTB_Database!$B:$I,8,FALSE)=0,"",VLOOKUP($F$10&amp;$A125,PAB_CTB_Database!$B:$I,8,FALSE)))</f>
        <v/>
      </c>
      <c r="E125" s="405"/>
      <c r="F125" s="142" t="str">
        <f>IF($F$10=" &lt;&lt;&lt; Select Index &gt;&gt;&gt;","",IF(VLOOKUP($F$10&amp;$A125,PAB_CTB_Database!$B:$J,9,FALSE)=0,"",VLOOKUP($F$10&amp;$A125,PAB_CTB_Database!$B:$J,9,FALSE)))</f>
        <v/>
      </c>
      <c r="G125" s="142">
        <f>IF($F$10=" &lt;&lt;&lt; Select Index &gt;&gt;&gt;","",IF(VLOOKUP($F$10&amp;$A125,PAB_CTB_Database!$B:$K,10,FALSE)=0,"",VLOOKUP($F$10&amp;$A125,PAB_CTB_Database!$B:$K,10,FALSE)))</f>
        <v>10728609.635826023</v>
      </c>
      <c r="H125" s="143" t="str">
        <f>IF($F$10=" &lt;&lt;&lt; Select Index &gt;&gt;&gt;","",IF(F125="","",IF(VLOOKUP($F$10&amp;$A125,PAB_CTB_Database!$B:$L,11,FALSE)=0,"",VLOOKUP($F$10&amp;$A125,PAB_CTB_Database!$B:$L,11,FALSE))))</f>
        <v/>
      </c>
      <c r="I125" s="144" t="str">
        <f>IF($F$10=" &lt;&lt;&lt; Select Index &gt;&gt;&gt;","",IF(F125="","",IF(VLOOKUP($F$10&amp;$A125,PAB_CTB_Database!$B:$M,12,FALSE)=0,"",VLOOKUP($F$10&amp;$A125,PAB_CTB_Database!$B:$M,12,FALSE))))</f>
        <v/>
      </c>
      <c r="J125" s="145" t="str">
        <f>IF($F$10=" &lt;&lt;&lt; Select Index &gt;&gt;&gt;","",IF(VLOOKUP($F$10&amp;$A125,PAB_CTB_Database!$B:$N,13,FALSE)=0,"",VLOOKUP($F$10&amp;$A125,PAB_CTB_Database!$B:$N,13,FALSE)))</f>
        <v/>
      </c>
      <c r="K125" s="105" t="str">
        <f t="shared" si="6"/>
        <v/>
      </c>
      <c r="L125" s="115" t="str">
        <f t="shared" si="7"/>
        <v/>
      </c>
      <c r="M125" s="148" t="str">
        <f t="shared" si="8"/>
        <v/>
      </c>
      <c r="N125" s="115" t="str">
        <f t="shared" si="9"/>
        <v/>
      </c>
      <c r="O125" s="124" t="str">
        <f t="shared" si="10"/>
        <v/>
      </c>
      <c r="P125" s="110"/>
      <c r="Q125" s="118" t="str">
        <f>IF($F$10=" &lt;&lt;&lt; Select Index &gt;&gt;&gt;","",IF(D125="","",IF(VLOOKUP($F$10&amp;$A125,PAB_CTB_Database!$B:$O,14,FALSE)=0,"",VLOOKUP($F$10&amp;$A125,PAB_CTB_Database!$B:$O,14,FALSE))))</f>
        <v/>
      </c>
      <c r="R125" s="119" t="str">
        <f t="shared" si="11"/>
        <v/>
      </c>
      <c r="S125" s="15"/>
    </row>
    <row r="126" spans="1:22" x14ac:dyDescent="0.3">
      <c r="A126" s="84">
        <v>99</v>
      </c>
      <c r="B126" s="46"/>
      <c r="C126" s="88">
        <f>IF($F$10=" &lt;&lt;&lt; Select Index &gt;&gt;&gt;","",VLOOKUP(_xlfn.CONCAT($F$10,A126),PAB_CTB_Database!B:H,7,FALSE))</f>
        <v>47664</v>
      </c>
      <c r="D126" s="404" t="str">
        <f>IF($F$10=" &lt;&lt;&lt; Select Index &gt;&gt;&gt;","",IF(VLOOKUP($F$10&amp;$A126,PAB_CTB_Database!$B:$I,8,FALSE)=0,"",VLOOKUP($F$10&amp;$A126,PAB_CTB_Database!$B:$I,8,FALSE)))</f>
        <v/>
      </c>
      <c r="E126" s="405"/>
      <c r="F126" s="142" t="str">
        <f>IF($F$10=" &lt;&lt;&lt; Select Index &gt;&gt;&gt;","",IF(VLOOKUP($F$10&amp;$A126,PAB_CTB_Database!$B:$J,9,FALSE)=0,"",VLOOKUP($F$10&amp;$A126,PAB_CTB_Database!$B:$J,9,FALSE)))</f>
        <v/>
      </c>
      <c r="G126" s="142">
        <f>IF($F$10=" &lt;&lt;&lt; Select Index &gt;&gt;&gt;","",IF(VLOOKUP($F$10&amp;$A126,PAB_CTB_Database!$B:$K,10,FALSE)=0,"",VLOOKUP($F$10&amp;$A126,PAB_CTB_Database!$B:$K,10,FALSE)))</f>
        <v>10663923.543210411</v>
      </c>
      <c r="H126" s="143" t="str">
        <f>IF($F$10=" &lt;&lt;&lt; Select Index &gt;&gt;&gt;","",IF(F126="","",IF(VLOOKUP($F$10&amp;$A126,PAB_CTB_Database!$B:$L,11,FALSE)=0,"",VLOOKUP($F$10&amp;$A126,PAB_CTB_Database!$B:$L,11,FALSE))))</f>
        <v/>
      </c>
      <c r="I126" s="144" t="str">
        <f>IF($F$10=" &lt;&lt;&lt; Select Index &gt;&gt;&gt;","",IF(F126="","",IF(VLOOKUP($F$10&amp;$A126,PAB_CTB_Database!$B:$M,12,FALSE)=0,"",VLOOKUP($F$10&amp;$A126,PAB_CTB_Database!$B:$M,12,FALSE))))</f>
        <v/>
      </c>
      <c r="J126" s="145" t="str">
        <f>IF($F$10=" &lt;&lt;&lt; Select Index &gt;&gt;&gt;","",IF(VLOOKUP($F$10&amp;$A126,PAB_CTB_Database!$B:$N,13,FALSE)=0,"",VLOOKUP($F$10&amp;$A126,PAB_CTB_Database!$B:$N,13,FALSE)))</f>
        <v/>
      </c>
      <c r="K126" s="105" t="str">
        <f t="shared" si="6"/>
        <v/>
      </c>
      <c r="L126" s="115" t="str">
        <f t="shared" si="7"/>
        <v/>
      </c>
      <c r="M126" s="148" t="str">
        <f t="shared" si="8"/>
        <v/>
      </c>
      <c r="N126" s="115" t="str">
        <f t="shared" si="9"/>
        <v/>
      </c>
      <c r="O126" s="124" t="str">
        <f t="shared" si="10"/>
        <v/>
      </c>
      <c r="P126" s="110"/>
      <c r="Q126" s="118" t="str">
        <f>IF($F$10=" &lt;&lt;&lt; Select Index &gt;&gt;&gt;","",IF(D126="","",IF(VLOOKUP($F$10&amp;$A126,PAB_CTB_Database!$B:$O,14,FALSE)=0,"",VLOOKUP($F$10&amp;$A126,PAB_CTB_Database!$B:$O,14,FALSE))))</f>
        <v/>
      </c>
      <c r="R126" s="119" t="str">
        <f t="shared" si="11"/>
        <v/>
      </c>
      <c r="S126" s="15"/>
    </row>
    <row r="127" spans="1:22" x14ac:dyDescent="0.3">
      <c r="A127" s="84">
        <v>100</v>
      </c>
      <c r="B127" s="46"/>
      <c r="C127" s="88">
        <f>IF($F$10=" &lt;&lt;&lt; Select Index &gt;&gt;&gt;","",VLOOKUP(_xlfn.CONCAT($F$10,A127),PAB_CTB_Database!B:H,7,FALSE))</f>
        <v>47695</v>
      </c>
      <c r="D127" s="404" t="str">
        <f>IF($F$10=" &lt;&lt;&lt; Select Index &gt;&gt;&gt;","",IF(VLOOKUP($F$10&amp;$A127,PAB_CTB_Database!$B:$I,8,FALSE)=0,"",VLOOKUP($F$10&amp;$A127,PAB_CTB_Database!$B:$I,8,FALSE)))</f>
        <v/>
      </c>
      <c r="E127" s="405"/>
      <c r="F127" s="142" t="str">
        <f>IF($F$10=" &lt;&lt;&lt; Select Index &gt;&gt;&gt;","",IF(VLOOKUP($F$10&amp;$A127,PAB_CTB_Database!$B:$J,9,FALSE)=0,"",VLOOKUP($F$10&amp;$A127,PAB_CTB_Database!$B:$J,9,FALSE)))</f>
        <v/>
      </c>
      <c r="G127" s="142">
        <f>IF($F$10=" &lt;&lt;&lt; Select Index &gt;&gt;&gt;","",IF(VLOOKUP($F$10&amp;$A127,PAB_CTB_Database!$B:$K,10,FALSE)=0,"",VLOOKUP($F$10&amp;$A127,PAB_CTB_Database!$B:$K,10,FALSE)))</f>
        <v>10599627.462974772</v>
      </c>
      <c r="H127" s="143" t="str">
        <f>IF($F$10=" &lt;&lt;&lt; Select Index &gt;&gt;&gt;","",IF(F127="","",IF(VLOOKUP($F$10&amp;$A127,PAB_CTB_Database!$B:$L,11,FALSE)=0,"",VLOOKUP($F$10&amp;$A127,PAB_CTB_Database!$B:$L,11,FALSE))))</f>
        <v/>
      </c>
      <c r="I127" s="144" t="str">
        <f>IF($F$10=" &lt;&lt;&lt; Select Index &gt;&gt;&gt;","",IF(F127="","",IF(VLOOKUP($F$10&amp;$A127,PAB_CTB_Database!$B:$M,12,FALSE)=0,"",VLOOKUP($F$10&amp;$A127,PAB_CTB_Database!$B:$M,12,FALSE))))</f>
        <v/>
      </c>
      <c r="J127" s="145" t="str">
        <f>IF($F$10=" &lt;&lt;&lt; Select Index &gt;&gt;&gt;","",IF(VLOOKUP($F$10&amp;$A127,PAB_CTB_Database!$B:$N,13,FALSE)=0,"",VLOOKUP($F$10&amp;$A127,PAB_CTB_Database!$B:$N,13,FALSE)))</f>
        <v/>
      </c>
      <c r="K127" s="105" t="str">
        <f t="shared" si="6"/>
        <v/>
      </c>
      <c r="L127" s="115" t="str">
        <f t="shared" si="7"/>
        <v/>
      </c>
      <c r="M127" s="148" t="str">
        <f t="shared" si="8"/>
        <v/>
      </c>
      <c r="N127" s="115" t="str">
        <f t="shared" si="9"/>
        <v/>
      </c>
      <c r="O127" s="124" t="str">
        <f t="shared" si="10"/>
        <v/>
      </c>
      <c r="P127" s="110"/>
      <c r="Q127" s="118" t="str">
        <f>IF($F$10=" &lt;&lt;&lt; Select Index &gt;&gt;&gt;","",IF(D127="","",IF(VLOOKUP($F$10&amp;$A127,PAB_CTB_Database!$B:$O,14,FALSE)=0,"",VLOOKUP($F$10&amp;$A127,PAB_CTB_Database!$B:$O,14,FALSE))))</f>
        <v/>
      </c>
      <c r="R127" s="119" t="str">
        <f t="shared" si="11"/>
        <v/>
      </c>
      <c r="S127" s="15"/>
    </row>
    <row r="128" spans="1:22" x14ac:dyDescent="0.3">
      <c r="A128" s="84">
        <v>101</v>
      </c>
      <c r="B128" s="46"/>
      <c r="C128" s="88">
        <f>IF($F$10=" &lt;&lt;&lt; Select Index &gt;&gt;&gt;","",VLOOKUP(_xlfn.CONCAT($F$10,A128),PAB_CTB_Database!B:H,7,FALSE))</f>
        <v>47726</v>
      </c>
      <c r="D128" s="404" t="str">
        <f>IF($F$10=" &lt;&lt;&lt; Select Index &gt;&gt;&gt;","",IF(VLOOKUP($F$10&amp;$A128,PAB_CTB_Database!$B:$I,8,FALSE)=0,"",VLOOKUP($F$10&amp;$A128,PAB_CTB_Database!$B:$I,8,FALSE)))</f>
        <v/>
      </c>
      <c r="E128" s="405"/>
      <c r="F128" s="142" t="str">
        <f>IF($F$10=" &lt;&lt;&lt; Select Index &gt;&gt;&gt;","",IF(VLOOKUP($F$10&amp;$A128,PAB_CTB_Database!$B:$J,9,FALSE)=0,"",VLOOKUP($F$10&amp;$A128,PAB_CTB_Database!$B:$J,9,FALSE)))</f>
        <v/>
      </c>
      <c r="G128" s="142">
        <f>IF($F$10=" &lt;&lt;&lt; Select Index &gt;&gt;&gt;","",IF(VLOOKUP($F$10&amp;$A128,PAB_CTB_Database!$B:$K,10,FALSE)=0,"",VLOOKUP($F$10&amp;$A128,PAB_CTB_Database!$B:$K,10,FALSE)))</f>
        <v>10535719.043614319</v>
      </c>
      <c r="H128" s="143" t="str">
        <f>IF($F$10=" &lt;&lt;&lt; Select Index &gt;&gt;&gt;","",IF(F128="","",IF(VLOOKUP($F$10&amp;$A128,PAB_CTB_Database!$B:$L,11,FALSE)=0,"",VLOOKUP($F$10&amp;$A128,PAB_CTB_Database!$B:$L,11,FALSE))))</f>
        <v/>
      </c>
      <c r="I128" s="144" t="str">
        <f>IF($F$10=" &lt;&lt;&lt; Select Index &gt;&gt;&gt;","",IF(F128="","",IF(VLOOKUP($F$10&amp;$A128,PAB_CTB_Database!$B:$M,12,FALSE)=0,"",VLOOKUP($F$10&amp;$A128,PAB_CTB_Database!$B:$M,12,FALSE))))</f>
        <v/>
      </c>
      <c r="J128" s="145" t="str">
        <f>IF($F$10=" &lt;&lt;&lt; Select Index &gt;&gt;&gt;","",IF(VLOOKUP($F$10&amp;$A128,PAB_CTB_Database!$B:$N,13,FALSE)=0,"",VLOOKUP($F$10&amp;$A128,PAB_CTB_Database!$B:$N,13,FALSE)))</f>
        <v/>
      </c>
      <c r="K128" s="105" t="str">
        <f t="shared" si="6"/>
        <v/>
      </c>
      <c r="L128" s="115" t="str">
        <f t="shared" si="7"/>
        <v/>
      </c>
      <c r="M128" s="148" t="str">
        <f t="shared" si="8"/>
        <v/>
      </c>
      <c r="N128" s="115" t="str">
        <f t="shared" si="9"/>
        <v/>
      </c>
      <c r="O128" s="124" t="str">
        <f t="shared" si="10"/>
        <v/>
      </c>
      <c r="P128" s="110"/>
      <c r="Q128" s="118" t="str">
        <f>IF($F$10=" &lt;&lt;&lt; Select Index &gt;&gt;&gt;","",IF(D128="","",IF(VLOOKUP($F$10&amp;$A128,PAB_CTB_Database!$B:$O,14,FALSE)=0,"",VLOOKUP($F$10&amp;$A128,PAB_CTB_Database!$B:$O,14,FALSE))))</f>
        <v/>
      </c>
      <c r="R128" s="119" t="str">
        <f t="shared" si="11"/>
        <v/>
      </c>
      <c r="S128" s="15"/>
    </row>
    <row r="129" spans="1:19" x14ac:dyDescent="0.3">
      <c r="A129" s="84">
        <v>102</v>
      </c>
      <c r="B129" s="46"/>
      <c r="C129" s="88">
        <f>IF($F$10=" &lt;&lt;&lt; Select Index &gt;&gt;&gt;","",VLOOKUP(_xlfn.CONCAT($F$10,A129),PAB_CTB_Database!B:H,7,FALSE))</f>
        <v>47756</v>
      </c>
      <c r="D129" s="404" t="str">
        <f>IF($F$10=" &lt;&lt;&lt; Select Index &gt;&gt;&gt;","",IF(VLOOKUP($F$10&amp;$A129,PAB_CTB_Database!$B:$I,8,FALSE)=0,"",VLOOKUP($F$10&amp;$A129,PAB_CTB_Database!$B:$I,8,FALSE)))</f>
        <v/>
      </c>
      <c r="E129" s="405"/>
      <c r="F129" s="142" t="str">
        <f>IF($F$10=" &lt;&lt;&lt; Select Index &gt;&gt;&gt;","",IF(VLOOKUP($F$10&amp;$A129,PAB_CTB_Database!$B:$J,9,FALSE)=0,"",VLOOKUP($F$10&amp;$A129,PAB_CTB_Database!$B:$J,9,FALSE)))</f>
        <v/>
      </c>
      <c r="G129" s="142">
        <f>IF($F$10=" &lt;&lt;&lt; Select Index &gt;&gt;&gt;","",IF(VLOOKUP($F$10&amp;$A129,PAB_CTB_Database!$B:$K,10,FALSE)=0,"",VLOOKUP($F$10&amp;$A129,PAB_CTB_Database!$B:$K,10,FALSE)))</f>
        <v>10472195.947802207</v>
      </c>
      <c r="H129" s="143" t="str">
        <f>IF($F$10=" &lt;&lt;&lt; Select Index &gt;&gt;&gt;","",IF(F129="","",IF(VLOOKUP($F$10&amp;$A129,PAB_CTB_Database!$B:$L,11,FALSE)=0,"",VLOOKUP($F$10&amp;$A129,PAB_CTB_Database!$B:$L,11,FALSE))))</f>
        <v/>
      </c>
      <c r="I129" s="144" t="str">
        <f>IF($F$10=" &lt;&lt;&lt; Select Index &gt;&gt;&gt;","",IF(F129="","",IF(VLOOKUP($F$10&amp;$A129,PAB_CTB_Database!$B:$M,12,FALSE)=0,"",VLOOKUP($F$10&amp;$A129,PAB_CTB_Database!$B:$M,12,FALSE))))</f>
        <v/>
      </c>
      <c r="J129" s="145" t="str">
        <f>IF($F$10=" &lt;&lt;&lt; Select Index &gt;&gt;&gt;","",IF(VLOOKUP($F$10&amp;$A129,PAB_CTB_Database!$B:$N,13,FALSE)=0,"",VLOOKUP($F$10&amp;$A129,PAB_CTB_Database!$B:$N,13,FALSE)))</f>
        <v/>
      </c>
      <c r="K129" s="105" t="str">
        <f t="shared" si="6"/>
        <v/>
      </c>
      <c r="L129" s="115" t="str">
        <f t="shared" si="7"/>
        <v/>
      </c>
      <c r="M129" s="148" t="str">
        <f t="shared" si="8"/>
        <v/>
      </c>
      <c r="N129" s="115" t="str">
        <f t="shared" si="9"/>
        <v/>
      </c>
      <c r="O129" s="124" t="str">
        <f t="shared" si="10"/>
        <v/>
      </c>
      <c r="P129" s="110"/>
      <c r="Q129" s="118" t="str">
        <f>IF($F$10=" &lt;&lt;&lt; Select Index &gt;&gt;&gt;","",IF(D129="","",IF(VLOOKUP($F$10&amp;$A129,PAB_CTB_Database!$B:$O,14,FALSE)=0,"",VLOOKUP($F$10&amp;$A129,PAB_CTB_Database!$B:$O,14,FALSE))))</f>
        <v/>
      </c>
      <c r="R129" s="119" t="str">
        <f t="shared" si="11"/>
        <v/>
      </c>
      <c r="S129" s="15"/>
    </row>
    <row r="130" spans="1:19" x14ac:dyDescent="0.3">
      <c r="A130" s="84">
        <v>103</v>
      </c>
      <c r="B130" s="46"/>
      <c r="C130" s="88">
        <f>IF($F$10=" &lt;&lt;&lt; Select Index &gt;&gt;&gt;","",VLOOKUP(_xlfn.CONCAT($F$10,A130),PAB_CTB_Database!B:H,7,FALSE))</f>
        <v>47787</v>
      </c>
      <c r="D130" s="404" t="str">
        <f>IF($F$10=" &lt;&lt;&lt; Select Index &gt;&gt;&gt;","",IF(VLOOKUP($F$10&amp;$A130,PAB_CTB_Database!$B:$I,8,FALSE)=0,"",VLOOKUP($F$10&amp;$A130,PAB_CTB_Database!$B:$I,8,FALSE)))</f>
        <v/>
      </c>
      <c r="E130" s="405"/>
      <c r="F130" s="142" t="str">
        <f>IF($F$10=" &lt;&lt;&lt; Select Index &gt;&gt;&gt;","",IF(VLOOKUP($F$10&amp;$A130,PAB_CTB_Database!$B:$J,9,FALSE)=0,"",VLOOKUP($F$10&amp;$A130,PAB_CTB_Database!$B:$J,9,FALSE)))</f>
        <v/>
      </c>
      <c r="G130" s="142">
        <f>IF($F$10=" &lt;&lt;&lt; Select Index &gt;&gt;&gt;","",IF(VLOOKUP($F$10&amp;$A130,PAB_CTB_Database!$B:$K,10,FALSE)=0,"",VLOOKUP($F$10&amp;$A130,PAB_CTB_Database!$B:$K,10,FALSE)))</f>
        <v>10409055.852304062</v>
      </c>
      <c r="H130" s="143" t="str">
        <f>IF($F$10=" &lt;&lt;&lt; Select Index &gt;&gt;&gt;","",IF(F130="","",IF(VLOOKUP($F$10&amp;$A130,PAB_CTB_Database!$B:$L,11,FALSE)=0,"",VLOOKUP($F$10&amp;$A130,PAB_CTB_Database!$B:$L,11,FALSE))))</f>
        <v/>
      </c>
      <c r="I130" s="144" t="str">
        <f>IF($F$10=" &lt;&lt;&lt; Select Index &gt;&gt;&gt;","",IF(F130="","",IF(VLOOKUP($F$10&amp;$A130,PAB_CTB_Database!$B:$M,12,FALSE)=0,"",VLOOKUP($F$10&amp;$A130,PAB_CTB_Database!$B:$M,12,FALSE))))</f>
        <v/>
      </c>
      <c r="J130" s="145" t="str">
        <f>IF($F$10=" &lt;&lt;&lt; Select Index &gt;&gt;&gt;","",IF(VLOOKUP($F$10&amp;$A130,PAB_CTB_Database!$B:$N,13,FALSE)=0,"",VLOOKUP($F$10&amp;$A130,PAB_CTB_Database!$B:$N,13,FALSE)))</f>
        <v/>
      </c>
      <c r="K130" s="105" t="str">
        <f t="shared" si="6"/>
        <v/>
      </c>
      <c r="L130" s="115" t="str">
        <f t="shared" si="7"/>
        <v/>
      </c>
      <c r="M130" s="148" t="str">
        <f t="shared" si="8"/>
        <v/>
      </c>
      <c r="N130" s="115" t="str">
        <f t="shared" si="9"/>
        <v/>
      </c>
      <c r="O130" s="124" t="str">
        <f t="shared" si="10"/>
        <v/>
      </c>
      <c r="P130" s="110"/>
      <c r="Q130" s="118" t="str">
        <f>IF($F$10=" &lt;&lt;&lt; Select Index &gt;&gt;&gt;","",IF(D130="","",IF(VLOOKUP($F$10&amp;$A130,PAB_CTB_Database!$B:$O,14,FALSE)=0,"",VLOOKUP($F$10&amp;$A130,PAB_CTB_Database!$B:$O,14,FALSE))))</f>
        <v/>
      </c>
      <c r="R130" s="119" t="str">
        <f t="shared" si="11"/>
        <v/>
      </c>
      <c r="S130" s="15"/>
    </row>
    <row r="131" spans="1:19" x14ac:dyDescent="0.3">
      <c r="A131" s="84">
        <v>104</v>
      </c>
      <c r="B131" s="46"/>
      <c r="C131" s="88">
        <f>IF($F$10=" &lt;&lt;&lt; Select Index &gt;&gt;&gt;","",VLOOKUP(_xlfn.CONCAT($F$10,A131),PAB_CTB_Database!B:H,7,FALSE))</f>
        <v>47817</v>
      </c>
      <c r="D131" s="404" t="str">
        <f>IF($F$10=" &lt;&lt;&lt; Select Index &gt;&gt;&gt;","",IF(VLOOKUP($F$10&amp;$A131,PAB_CTB_Database!$B:$I,8,FALSE)=0,"",VLOOKUP($F$10&amp;$A131,PAB_CTB_Database!$B:$I,8,FALSE)))</f>
        <v/>
      </c>
      <c r="E131" s="405"/>
      <c r="F131" s="142" t="str">
        <f>IF($F$10=" &lt;&lt;&lt; Select Index &gt;&gt;&gt;","",IF(VLOOKUP($F$10&amp;$A131,PAB_CTB_Database!$B:$J,9,FALSE)=0,"",VLOOKUP($F$10&amp;$A131,PAB_CTB_Database!$B:$J,9,FALSE)))</f>
        <v/>
      </c>
      <c r="G131" s="142">
        <f>IF($F$10=" &lt;&lt;&lt; Select Index &gt;&gt;&gt;","",IF(VLOOKUP($F$10&amp;$A131,PAB_CTB_Database!$B:$K,10,FALSE)=0,"",VLOOKUP($F$10&amp;$A131,PAB_CTB_Database!$B:$K,10,FALSE)))</f>
        <v>10346296.447892999</v>
      </c>
      <c r="H131" s="143" t="str">
        <f>IF($F$10=" &lt;&lt;&lt; Select Index &gt;&gt;&gt;","",IF(F131="","",IF(VLOOKUP($F$10&amp;$A131,PAB_CTB_Database!$B:$L,11,FALSE)=0,"",VLOOKUP($F$10&amp;$A131,PAB_CTB_Database!$B:$L,11,FALSE))))</f>
        <v/>
      </c>
      <c r="I131" s="144" t="str">
        <f>IF($F$10=" &lt;&lt;&lt; Select Index &gt;&gt;&gt;","",IF(F131="","",IF(VLOOKUP($F$10&amp;$A131,PAB_CTB_Database!$B:$M,12,FALSE)=0,"",VLOOKUP($F$10&amp;$A131,PAB_CTB_Database!$B:$M,12,FALSE))))</f>
        <v/>
      </c>
      <c r="J131" s="145" t="str">
        <f>IF($F$10=" &lt;&lt;&lt; Select Index &gt;&gt;&gt;","",IF(VLOOKUP($F$10&amp;$A131,PAB_CTB_Database!$B:$N,13,FALSE)=0,"",VLOOKUP($F$10&amp;$A131,PAB_CTB_Database!$B:$N,13,FALSE)))</f>
        <v/>
      </c>
      <c r="K131" s="105" t="str">
        <f t="shared" si="6"/>
        <v/>
      </c>
      <c r="L131" s="115" t="str">
        <f t="shared" si="7"/>
        <v/>
      </c>
      <c r="M131" s="148" t="str">
        <f t="shared" si="8"/>
        <v/>
      </c>
      <c r="N131" s="115" t="str">
        <f t="shared" si="9"/>
        <v/>
      </c>
      <c r="O131" s="124" t="str">
        <f t="shared" si="10"/>
        <v/>
      </c>
      <c r="P131" s="110"/>
      <c r="Q131" s="118" t="str">
        <f>IF($F$10=" &lt;&lt;&lt; Select Index &gt;&gt;&gt;","",IF(D131="","",IF(VLOOKUP($F$10&amp;$A131,PAB_CTB_Database!$B:$O,14,FALSE)=0,"",VLOOKUP($F$10&amp;$A131,PAB_CTB_Database!$B:$O,14,FALSE))))</f>
        <v/>
      </c>
      <c r="R131" s="119" t="str">
        <f t="shared" si="11"/>
        <v/>
      </c>
      <c r="S131" s="15"/>
    </row>
    <row r="132" spans="1:19" x14ac:dyDescent="0.3">
      <c r="A132" s="84">
        <v>105</v>
      </c>
      <c r="B132" s="46"/>
      <c r="C132" s="88">
        <f>IF($F$10=" &lt;&lt;&lt; Select Index &gt;&gt;&gt;","",VLOOKUP(_xlfn.CONCAT($F$10,A132),PAB_CTB_Database!B:H,7,FALSE))</f>
        <v>47848</v>
      </c>
      <c r="D132" s="404" t="str">
        <f>IF($F$10=" &lt;&lt;&lt; Select Index &gt;&gt;&gt;","",IF(VLOOKUP($F$10&amp;$A132,PAB_CTB_Database!$B:$I,8,FALSE)=0,"",VLOOKUP($F$10&amp;$A132,PAB_CTB_Database!$B:$I,8,FALSE)))</f>
        <v/>
      </c>
      <c r="E132" s="405"/>
      <c r="F132" s="142" t="str">
        <f>IF($F$10=" &lt;&lt;&lt; Select Index &gt;&gt;&gt;","",IF(VLOOKUP($F$10&amp;$A132,PAB_CTB_Database!$B:$J,9,FALSE)=0,"",VLOOKUP($F$10&amp;$A132,PAB_CTB_Database!$B:$J,9,FALSE)))</f>
        <v/>
      </c>
      <c r="G132" s="142">
        <f>IF($F$10=" &lt;&lt;&lt; Select Index &gt;&gt;&gt;","",IF(VLOOKUP($F$10&amp;$A132,PAB_CTB_Database!$B:$K,10,FALSE)=0,"",VLOOKUP($F$10&amp;$A132,PAB_CTB_Database!$B:$K,10,FALSE)))</f>
        <v>10283915.439265177</v>
      </c>
      <c r="H132" s="143" t="str">
        <f>IF($F$10=" &lt;&lt;&lt; Select Index &gt;&gt;&gt;","",IF(F132="","",IF(VLOOKUP($F$10&amp;$A132,PAB_CTB_Database!$B:$L,11,FALSE)=0,"",VLOOKUP($F$10&amp;$A132,PAB_CTB_Database!$B:$L,11,FALSE))))</f>
        <v/>
      </c>
      <c r="I132" s="144" t="str">
        <f>IF($F$10=" &lt;&lt;&lt; Select Index &gt;&gt;&gt;","",IF(F132="","",IF(VLOOKUP($F$10&amp;$A132,PAB_CTB_Database!$B:$M,12,FALSE)=0,"",VLOOKUP($F$10&amp;$A132,PAB_CTB_Database!$B:$M,12,FALSE))))</f>
        <v/>
      </c>
      <c r="J132" s="145" t="str">
        <f>IF($F$10=" &lt;&lt;&lt; Select Index &gt;&gt;&gt;","",IF(VLOOKUP($F$10&amp;$A132,PAB_CTB_Database!$B:$N,13,FALSE)=0,"",VLOOKUP($F$10&amp;$A132,PAB_CTB_Database!$B:$N,13,FALSE)))</f>
        <v/>
      </c>
      <c r="K132" s="105" t="str">
        <f t="shared" si="6"/>
        <v/>
      </c>
      <c r="L132" s="115" t="str">
        <f t="shared" si="7"/>
        <v/>
      </c>
      <c r="M132" s="148" t="str">
        <f t="shared" si="8"/>
        <v/>
      </c>
      <c r="N132" s="115" t="str">
        <f t="shared" si="9"/>
        <v/>
      </c>
      <c r="O132" s="124" t="str">
        <f t="shared" si="10"/>
        <v/>
      </c>
      <c r="P132" s="110"/>
      <c r="Q132" s="118" t="str">
        <f>IF($F$10=" &lt;&lt;&lt; Select Index &gt;&gt;&gt;","",IF(D132="","",IF(VLOOKUP($F$10&amp;$A132,PAB_CTB_Database!$B:$O,14,FALSE)=0,"",VLOOKUP($F$10&amp;$A132,PAB_CTB_Database!$B:$O,14,FALSE))))</f>
        <v/>
      </c>
      <c r="R132" s="119" t="str">
        <f t="shared" si="11"/>
        <v/>
      </c>
      <c r="S132" s="15"/>
    </row>
    <row r="133" spans="1:19" x14ac:dyDescent="0.3">
      <c r="A133" s="84">
        <v>106</v>
      </c>
      <c r="B133" s="46"/>
      <c r="C133" s="88">
        <f>IF($F$10=" &lt;&lt;&lt; Select Index &gt;&gt;&gt;","",VLOOKUP(_xlfn.CONCAT($F$10,A133),PAB_CTB_Database!B:H,7,FALSE))</f>
        <v>47879</v>
      </c>
      <c r="D133" s="404" t="str">
        <f>IF($F$10=" &lt;&lt;&lt; Select Index &gt;&gt;&gt;","",IF(VLOOKUP($F$10&amp;$A133,PAB_CTB_Database!$B:$I,8,FALSE)=0,"",VLOOKUP($F$10&amp;$A133,PAB_CTB_Database!$B:$I,8,FALSE)))</f>
        <v/>
      </c>
      <c r="E133" s="405"/>
      <c r="F133" s="142" t="str">
        <f>IF($F$10=" &lt;&lt;&lt; Select Index &gt;&gt;&gt;","",IF(VLOOKUP($F$10&amp;$A133,PAB_CTB_Database!$B:$J,9,FALSE)=0,"",VLOOKUP($F$10&amp;$A133,PAB_CTB_Database!$B:$J,9,FALSE)))</f>
        <v/>
      </c>
      <c r="G133" s="142">
        <f>IF($F$10=" &lt;&lt;&lt; Select Index &gt;&gt;&gt;","",IF(VLOOKUP($F$10&amp;$A133,PAB_CTB_Database!$B:$K,10,FALSE)=0,"",VLOOKUP($F$10&amp;$A133,PAB_CTB_Database!$B:$K,10,FALSE)))</f>
        <v>10221910.544955848</v>
      </c>
      <c r="H133" s="143" t="str">
        <f>IF($F$10=" &lt;&lt;&lt; Select Index &gt;&gt;&gt;","",IF(F133="","",IF(VLOOKUP($F$10&amp;$A133,PAB_CTB_Database!$B:$L,11,FALSE)=0,"",VLOOKUP($F$10&amp;$A133,PAB_CTB_Database!$B:$L,11,FALSE))))</f>
        <v/>
      </c>
      <c r="I133" s="144" t="str">
        <f>IF($F$10=" &lt;&lt;&lt; Select Index &gt;&gt;&gt;","",IF(F133="","",IF(VLOOKUP($F$10&amp;$A133,PAB_CTB_Database!$B:$M,12,FALSE)=0,"",VLOOKUP($F$10&amp;$A133,PAB_CTB_Database!$B:$M,12,FALSE))))</f>
        <v/>
      </c>
      <c r="J133" s="145" t="str">
        <f>IF($F$10=" &lt;&lt;&lt; Select Index &gt;&gt;&gt;","",IF(VLOOKUP($F$10&amp;$A133,PAB_CTB_Database!$B:$N,13,FALSE)=0,"",VLOOKUP($F$10&amp;$A133,PAB_CTB_Database!$B:$N,13,FALSE)))</f>
        <v/>
      </c>
      <c r="K133" s="105" t="str">
        <f t="shared" si="6"/>
        <v/>
      </c>
      <c r="L133" s="115" t="str">
        <f t="shared" si="7"/>
        <v/>
      </c>
      <c r="M133" s="148" t="str">
        <f t="shared" si="8"/>
        <v/>
      </c>
      <c r="N133" s="115" t="str">
        <f t="shared" si="9"/>
        <v/>
      </c>
      <c r="O133" s="124" t="str">
        <f t="shared" si="10"/>
        <v/>
      </c>
      <c r="P133" s="110"/>
      <c r="Q133" s="118" t="str">
        <f>IF($F$10=" &lt;&lt;&lt; Select Index &gt;&gt;&gt;","",IF(D133="","",IF(VLOOKUP($F$10&amp;$A133,PAB_CTB_Database!$B:$O,14,FALSE)=0,"",VLOOKUP($F$10&amp;$A133,PAB_CTB_Database!$B:$O,14,FALSE))))</f>
        <v/>
      </c>
      <c r="R133" s="119" t="str">
        <f t="shared" si="11"/>
        <v/>
      </c>
      <c r="S133" s="15"/>
    </row>
    <row r="134" spans="1:19" x14ac:dyDescent="0.3">
      <c r="A134" s="84">
        <v>107</v>
      </c>
      <c r="B134" s="46"/>
      <c r="C134" s="88">
        <f>IF($F$10=" &lt;&lt;&lt; Select Index &gt;&gt;&gt;","",VLOOKUP(_xlfn.CONCAT($F$10,A134),PAB_CTB_Database!B:H,7,FALSE))</f>
        <v>47907</v>
      </c>
      <c r="D134" s="404" t="str">
        <f>IF($F$10=" &lt;&lt;&lt; Select Index &gt;&gt;&gt;","",IF(VLOOKUP($F$10&amp;$A134,PAB_CTB_Database!$B:$I,8,FALSE)=0,"",VLOOKUP($F$10&amp;$A134,PAB_CTB_Database!$B:$I,8,FALSE)))</f>
        <v/>
      </c>
      <c r="E134" s="405"/>
      <c r="F134" s="142" t="str">
        <f>IF($F$10=" &lt;&lt;&lt; Select Index &gt;&gt;&gt;","",IF(VLOOKUP($F$10&amp;$A134,PAB_CTB_Database!$B:$J,9,FALSE)=0,"",VLOOKUP($F$10&amp;$A134,PAB_CTB_Database!$B:$J,9,FALSE)))</f>
        <v/>
      </c>
      <c r="G134" s="142">
        <f>IF($F$10=" &lt;&lt;&lt; Select Index &gt;&gt;&gt;","",IF(VLOOKUP($F$10&amp;$A134,PAB_CTB_Database!$B:$K,10,FALSE)=0,"",VLOOKUP($F$10&amp;$A134,PAB_CTB_Database!$B:$K,10,FALSE)))</f>
        <v>10160279.49725592</v>
      </c>
      <c r="H134" s="143" t="str">
        <f>IF($F$10=" &lt;&lt;&lt; Select Index &gt;&gt;&gt;","",IF(F134="","",IF(VLOOKUP($F$10&amp;$A134,PAB_CTB_Database!$B:$L,11,FALSE)=0,"",VLOOKUP($F$10&amp;$A134,PAB_CTB_Database!$B:$L,11,FALSE))))</f>
        <v/>
      </c>
      <c r="I134" s="144" t="str">
        <f>IF($F$10=" &lt;&lt;&lt; Select Index &gt;&gt;&gt;","",IF(F134="","",IF(VLOOKUP($F$10&amp;$A134,PAB_CTB_Database!$B:$M,12,FALSE)=0,"",VLOOKUP($F$10&amp;$A134,PAB_CTB_Database!$B:$M,12,FALSE))))</f>
        <v/>
      </c>
      <c r="J134" s="145" t="str">
        <f>IF($F$10=" &lt;&lt;&lt; Select Index &gt;&gt;&gt;","",IF(VLOOKUP($F$10&amp;$A134,PAB_CTB_Database!$B:$N,13,FALSE)=0,"",VLOOKUP($F$10&amp;$A134,PAB_CTB_Database!$B:$N,13,FALSE)))</f>
        <v/>
      </c>
      <c r="K134" s="105" t="str">
        <f t="shared" si="6"/>
        <v/>
      </c>
      <c r="L134" s="115" t="str">
        <f t="shared" si="7"/>
        <v/>
      </c>
      <c r="M134" s="148" t="str">
        <f t="shared" si="8"/>
        <v/>
      </c>
      <c r="N134" s="115" t="str">
        <f t="shared" si="9"/>
        <v/>
      </c>
      <c r="O134" s="124" t="str">
        <f t="shared" si="10"/>
        <v/>
      </c>
      <c r="P134" s="110"/>
      <c r="Q134" s="118" t="str">
        <f>IF($F$10=" &lt;&lt;&lt; Select Index &gt;&gt;&gt;","",IF(D134="","",IF(VLOOKUP($F$10&amp;$A134,PAB_CTB_Database!$B:$O,14,FALSE)=0,"",VLOOKUP($F$10&amp;$A134,PAB_CTB_Database!$B:$O,14,FALSE))))</f>
        <v/>
      </c>
      <c r="R134" s="119" t="str">
        <f t="shared" si="11"/>
        <v/>
      </c>
      <c r="S134" s="15"/>
    </row>
    <row r="135" spans="1:19" x14ac:dyDescent="0.3">
      <c r="A135" s="84">
        <v>108</v>
      </c>
      <c r="B135" s="46"/>
      <c r="C135" s="88">
        <f>IF($F$10=" &lt;&lt;&lt; Select Index &gt;&gt;&gt;","",VLOOKUP(_xlfn.CONCAT($F$10,A135),PAB_CTB_Database!B:H,7,FALSE))</f>
        <v>47938</v>
      </c>
      <c r="D135" s="404" t="str">
        <f>IF($F$10=" &lt;&lt;&lt; Select Index &gt;&gt;&gt;","",IF(VLOOKUP($F$10&amp;$A135,PAB_CTB_Database!$B:$I,8,FALSE)=0,"",VLOOKUP($F$10&amp;$A135,PAB_CTB_Database!$B:$I,8,FALSE)))</f>
        <v/>
      </c>
      <c r="E135" s="405"/>
      <c r="F135" s="142" t="str">
        <f>IF($F$10=" &lt;&lt;&lt; Select Index &gt;&gt;&gt;","",IF(VLOOKUP($F$10&amp;$A135,PAB_CTB_Database!$B:$J,9,FALSE)=0,"",VLOOKUP($F$10&amp;$A135,PAB_CTB_Database!$B:$J,9,FALSE)))</f>
        <v/>
      </c>
      <c r="G135" s="142">
        <f>IF($F$10=" &lt;&lt;&lt; Select Index &gt;&gt;&gt;","",IF(VLOOKUP($F$10&amp;$A135,PAB_CTB_Database!$B:$K,10,FALSE)=0,"",VLOOKUP($F$10&amp;$A135,PAB_CTB_Database!$B:$K,10,FALSE)))</f>
        <v>10099020.04212901</v>
      </c>
      <c r="H135" s="143" t="str">
        <f>IF($F$10=" &lt;&lt;&lt; Select Index &gt;&gt;&gt;","",IF(F135="","",IF(VLOOKUP($F$10&amp;$A135,PAB_CTB_Database!$B:$L,11,FALSE)=0,"",VLOOKUP($F$10&amp;$A135,PAB_CTB_Database!$B:$L,11,FALSE))))</f>
        <v/>
      </c>
      <c r="I135" s="144" t="str">
        <f>IF($F$10=" &lt;&lt;&lt; Select Index &gt;&gt;&gt;","",IF(F135="","",IF(VLOOKUP($F$10&amp;$A135,PAB_CTB_Database!$B:$M,12,FALSE)=0,"",VLOOKUP($F$10&amp;$A135,PAB_CTB_Database!$B:$M,12,FALSE))))</f>
        <v/>
      </c>
      <c r="J135" s="145" t="str">
        <f>IF($F$10=" &lt;&lt;&lt; Select Index &gt;&gt;&gt;","",IF(VLOOKUP($F$10&amp;$A135,PAB_CTB_Database!$B:$N,13,FALSE)=0,"",VLOOKUP($F$10&amp;$A135,PAB_CTB_Database!$B:$N,13,FALSE)))</f>
        <v/>
      </c>
      <c r="K135" s="105" t="str">
        <f t="shared" si="6"/>
        <v/>
      </c>
      <c r="L135" s="115" t="str">
        <f t="shared" si="7"/>
        <v/>
      </c>
      <c r="M135" s="148" t="str">
        <f t="shared" si="8"/>
        <v/>
      </c>
      <c r="N135" s="115" t="str">
        <f t="shared" si="9"/>
        <v/>
      </c>
      <c r="O135" s="124" t="str">
        <f t="shared" si="10"/>
        <v/>
      </c>
      <c r="P135" s="110"/>
      <c r="Q135" s="118" t="str">
        <f>IF($F$10=" &lt;&lt;&lt; Select Index &gt;&gt;&gt;","",IF(D135="","",IF(VLOOKUP($F$10&amp;$A135,PAB_CTB_Database!$B:$O,14,FALSE)=0,"",VLOOKUP($F$10&amp;$A135,PAB_CTB_Database!$B:$O,14,FALSE))))</f>
        <v/>
      </c>
      <c r="R135" s="119" t="str">
        <f t="shared" si="11"/>
        <v/>
      </c>
      <c r="S135" s="15"/>
    </row>
    <row r="136" spans="1:19" x14ac:dyDescent="0.3">
      <c r="A136" s="84">
        <v>109</v>
      </c>
      <c r="B136" s="46"/>
      <c r="C136" s="88">
        <f>IF($F$10=" &lt;&lt;&lt; Select Index &gt;&gt;&gt;","",VLOOKUP(_xlfn.CONCAT($F$10,A136),PAB_CTB_Database!B:H,7,FALSE))</f>
        <v>47968</v>
      </c>
      <c r="D136" s="404" t="str">
        <f>IF($F$10=" &lt;&lt;&lt; Select Index &gt;&gt;&gt;","",IF(VLOOKUP($F$10&amp;$A136,PAB_CTB_Database!$B:$I,8,FALSE)=0,"",VLOOKUP($F$10&amp;$A136,PAB_CTB_Database!$B:$I,8,FALSE)))</f>
        <v/>
      </c>
      <c r="E136" s="405"/>
      <c r="F136" s="142" t="str">
        <f>IF($F$10=" &lt;&lt;&lt; Select Index &gt;&gt;&gt;","",IF(VLOOKUP($F$10&amp;$A136,PAB_CTB_Database!$B:$J,9,FALSE)=0,"",VLOOKUP($F$10&amp;$A136,PAB_CTB_Database!$B:$J,9,FALSE)))</f>
        <v/>
      </c>
      <c r="G136" s="142">
        <f>IF($F$10=" &lt;&lt;&lt; Select Index &gt;&gt;&gt;","",IF(VLOOKUP($F$10&amp;$A136,PAB_CTB_Database!$B:$K,10,FALSE)=0,"",VLOOKUP($F$10&amp;$A136,PAB_CTB_Database!$B:$K,10,FALSE)))</f>
        <v>10038129.939129023</v>
      </c>
      <c r="H136" s="143" t="str">
        <f>IF($F$10=" &lt;&lt;&lt; Select Index &gt;&gt;&gt;","",IF(F136="","",IF(VLOOKUP($F$10&amp;$A136,PAB_CTB_Database!$B:$L,11,FALSE)=0,"",VLOOKUP($F$10&amp;$A136,PAB_CTB_Database!$B:$L,11,FALSE))))</f>
        <v/>
      </c>
      <c r="I136" s="144" t="str">
        <f>IF($F$10=" &lt;&lt;&lt; Select Index &gt;&gt;&gt;","",IF(F136="","",IF(VLOOKUP($F$10&amp;$A136,PAB_CTB_Database!$B:$M,12,FALSE)=0,"",VLOOKUP($F$10&amp;$A136,PAB_CTB_Database!$B:$M,12,FALSE))))</f>
        <v/>
      </c>
      <c r="J136" s="145" t="str">
        <f>IF($F$10=" &lt;&lt;&lt; Select Index &gt;&gt;&gt;","",IF(VLOOKUP($F$10&amp;$A136,PAB_CTB_Database!$B:$N,13,FALSE)=0,"",VLOOKUP($F$10&amp;$A136,PAB_CTB_Database!$B:$N,13,FALSE)))</f>
        <v/>
      </c>
      <c r="K136" s="105" t="str">
        <f t="shared" si="6"/>
        <v/>
      </c>
      <c r="L136" s="115" t="str">
        <f t="shared" si="7"/>
        <v/>
      </c>
      <c r="M136" s="148" t="str">
        <f t="shared" si="8"/>
        <v/>
      </c>
      <c r="N136" s="115" t="str">
        <f t="shared" si="9"/>
        <v/>
      </c>
      <c r="O136" s="124" t="str">
        <f t="shared" si="10"/>
        <v/>
      </c>
      <c r="P136" s="110"/>
      <c r="Q136" s="118" t="str">
        <f>IF($F$10=" &lt;&lt;&lt; Select Index &gt;&gt;&gt;","",IF(D136="","",IF(VLOOKUP($F$10&amp;$A136,PAB_CTB_Database!$B:$O,14,FALSE)=0,"",VLOOKUP($F$10&amp;$A136,PAB_CTB_Database!$B:$O,14,FALSE))))</f>
        <v/>
      </c>
      <c r="R136" s="119" t="str">
        <f t="shared" si="11"/>
        <v/>
      </c>
      <c r="S136" s="15"/>
    </row>
    <row r="137" spans="1:19" x14ac:dyDescent="0.3">
      <c r="A137" s="84">
        <v>110</v>
      </c>
      <c r="B137" s="46"/>
      <c r="C137" s="88">
        <f>IF($F$10=" &lt;&lt;&lt; Select Index &gt;&gt;&gt;","",VLOOKUP(_xlfn.CONCAT($F$10,A137),PAB_CTB_Database!B:H,7,FALSE))</f>
        <v>47999</v>
      </c>
      <c r="D137" s="404" t="str">
        <f>IF($F$10=" &lt;&lt;&lt; Select Index &gt;&gt;&gt;","",IF(VLOOKUP($F$10&amp;$A137,PAB_CTB_Database!$B:$I,8,FALSE)=0,"",VLOOKUP($F$10&amp;$A137,PAB_CTB_Database!$B:$I,8,FALSE)))</f>
        <v/>
      </c>
      <c r="E137" s="405"/>
      <c r="F137" s="142" t="str">
        <f>IF($F$10=" &lt;&lt;&lt; Select Index &gt;&gt;&gt;","",IF(VLOOKUP($F$10&amp;$A137,PAB_CTB_Database!$B:$J,9,FALSE)=0,"",VLOOKUP($F$10&amp;$A137,PAB_CTB_Database!$B:$J,9,FALSE)))</f>
        <v/>
      </c>
      <c r="G137" s="142">
        <f>IF($F$10=" &lt;&lt;&lt; Select Index &gt;&gt;&gt;","",IF(VLOOKUP($F$10&amp;$A137,PAB_CTB_Database!$B:$K,10,FALSE)=0,"",VLOOKUP($F$10&amp;$A137,PAB_CTB_Database!$B:$K,10,FALSE)))</f>
        <v>9977606.9613182042</v>
      </c>
      <c r="H137" s="143" t="str">
        <f>IF($F$10=" &lt;&lt;&lt; Select Index &gt;&gt;&gt;","",IF(F137="","",IF(VLOOKUP($F$10&amp;$A137,PAB_CTB_Database!$B:$L,11,FALSE)=0,"",VLOOKUP($F$10&amp;$A137,PAB_CTB_Database!$B:$L,11,FALSE))))</f>
        <v/>
      </c>
      <c r="I137" s="144" t="str">
        <f>IF($F$10=" &lt;&lt;&lt; Select Index &gt;&gt;&gt;","",IF(F137="","",IF(VLOOKUP($F$10&amp;$A137,PAB_CTB_Database!$B:$M,12,FALSE)=0,"",VLOOKUP($F$10&amp;$A137,PAB_CTB_Database!$B:$M,12,FALSE))))</f>
        <v/>
      </c>
      <c r="J137" s="145" t="str">
        <f>IF($F$10=" &lt;&lt;&lt; Select Index &gt;&gt;&gt;","",IF(VLOOKUP($F$10&amp;$A137,PAB_CTB_Database!$B:$N,13,FALSE)=0,"",VLOOKUP($F$10&amp;$A137,PAB_CTB_Database!$B:$N,13,FALSE)))</f>
        <v/>
      </c>
      <c r="K137" s="105" t="str">
        <f t="shared" si="6"/>
        <v/>
      </c>
      <c r="L137" s="115" t="str">
        <f t="shared" si="7"/>
        <v/>
      </c>
      <c r="M137" s="148" t="str">
        <f t="shared" si="8"/>
        <v/>
      </c>
      <c r="N137" s="115" t="str">
        <f t="shared" si="9"/>
        <v/>
      </c>
      <c r="O137" s="124" t="str">
        <f t="shared" si="10"/>
        <v/>
      </c>
      <c r="P137" s="110"/>
      <c r="Q137" s="118" t="str">
        <f>IF($F$10=" &lt;&lt;&lt; Select Index &gt;&gt;&gt;","",IF(D137="","",IF(VLOOKUP($F$10&amp;$A137,PAB_CTB_Database!$B:$O,14,FALSE)=0,"",VLOOKUP($F$10&amp;$A137,PAB_CTB_Database!$B:$O,14,FALSE))))</f>
        <v/>
      </c>
      <c r="R137" s="119" t="str">
        <f t="shared" si="11"/>
        <v/>
      </c>
      <c r="S137" s="15"/>
    </row>
    <row r="138" spans="1:19" x14ac:dyDescent="0.3">
      <c r="A138" s="84">
        <v>111</v>
      </c>
      <c r="B138" s="46"/>
      <c r="C138" s="88">
        <f>IF($F$10=" &lt;&lt;&lt; Select Index &gt;&gt;&gt;","",VLOOKUP(_xlfn.CONCAT($F$10,A138),PAB_CTB_Database!B:H,7,FALSE))</f>
        <v>48029</v>
      </c>
      <c r="D138" s="404" t="str">
        <f>IF($F$10=" &lt;&lt;&lt; Select Index &gt;&gt;&gt;","",IF(VLOOKUP($F$10&amp;$A138,PAB_CTB_Database!$B:$I,8,FALSE)=0,"",VLOOKUP($F$10&amp;$A138,PAB_CTB_Database!$B:$I,8,FALSE)))</f>
        <v/>
      </c>
      <c r="E138" s="405"/>
      <c r="F138" s="142" t="str">
        <f>IF($F$10=" &lt;&lt;&lt; Select Index &gt;&gt;&gt;","",IF(VLOOKUP($F$10&amp;$A138,PAB_CTB_Database!$B:$J,9,FALSE)=0,"",VLOOKUP($F$10&amp;$A138,PAB_CTB_Database!$B:$J,9,FALSE)))</f>
        <v/>
      </c>
      <c r="G138" s="142">
        <f>IF($F$10=" &lt;&lt;&lt; Select Index &gt;&gt;&gt;","",IF(VLOOKUP($F$10&amp;$A138,PAB_CTB_Database!$B:$K,10,FALSE)=0,"",VLOOKUP($F$10&amp;$A138,PAB_CTB_Database!$B:$K,10,FALSE)))</f>
        <v>9917448.8951856848</v>
      </c>
      <c r="H138" s="143" t="str">
        <f>IF($F$10=" &lt;&lt;&lt; Select Index &gt;&gt;&gt;","",IF(F138="","",IF(VLOOKUP($F$10&amp;$A138,PAB_CTB_Database!$B:$L,11,FALSE)=0,"",VLOOKUP($F$10&amp;$A138,PAB_CTB_Database!$B:$L,11,FALSE))))</f>
        <v/>
      </c>
      <c r="I138" s="144" t="str">
        <f>IF($F$10=" &lt;&lt;&lt; Select Index &gt;&gt;&gt;","",IF(F138="","",IF(VLOOKUP($F$10&amp;$A138,PAB_CTB_Database!$B:$M,12,FALSE)=0,"",VLOOKUP($F$10&amp;$A138,PAB_CTB_Database!$B:$M,12,FALSE))))</f>
        <v/>
      </c>
      <c r="J138" s="145" t="str">
        <f>IF($F$10=" &lt;&lt;&lt; Select Index &gt;&gt;&gt;","",IF(VLOOKUP($F$10&amp;$A138,PAB_CTB_Database!$B:$N,13,FALSE)=0,"",VLOOKUP($F$10&amp;$A138,PAB_CTB_Database!$B:$N,13,FALSE)))</f>
        <v/>
      </c>
      <c r="K138" s="105" t="str">
        <f t="shared" si="6"/>
        <v/>
      </c>
      <c r="L138" s="115" t="str">
        <f t="shared" si="7"/>
        <v/>
      </c>
      <c r="M138" s="148" t="str">
        <f t="shared" si="8"/>
        <v/>
      </c>
      <c r="N138" s="115" t="str">
        <f t="shared" si="9"/>
        <v/>
      </c>
      <c r="O138" s="124" t="str">
        <f t="shared" si="10"/>
        <v/>
      </c>
      <c r="P138" s="110"/>
      <c r="Q138" s="118" t="str">
        <f>IF($F$10=" &lt;&lt;&lt; Select Index &gt;&gt;&gt;","",IF(D138="","",IF(VLOOKUP($F$10&amp;$A138,PAB_CTB_Database!$B:$O,14,FALSE)=0,"",VLOOKUP($F$10&amp;$A138,PAB_CTB_Database!$B:$O,14,FALSE))))</f>
        <v/>
      </c>
      <c r="R138" s="119" t="str">
        <f t="shared" si="11"/>
        <v/>
      </c>
      <c r="S138" s="15"/>
    </row>
    <row r="139" spans="1:19" x14ac:dyDescent="0.3">
      <c r="A139" s="84">
        <v>112</v>
      </c>
      <c r="B139" s="46"/>
      <c r="C139" s="88">
        <f>IF($F$10=" &lt;&lt;&lt; Select Index &gt;&gt;&gt;","",VLOOKUP(_xlfn.CONCAT($F$10,A139),PAB_CTB_Database!B:H,7,FALSE))</f>
        <v>48060</v>
      </c>
      <c r="D139" s="404" t="str">
        <f>IF($F$10=" &lt;&lt;&lt; Select Index &gt;&gt;&gt;","",IF(VLOOKUP($F$10&amp;$A139,PAB_CTB_Database!$B:$I,8,FALSE)=0,"",VLOOKUP($F$10&amp;$A139,PAB_CTB_Database!$B:$I,8,FALSE)))</f>
        <v/>
      </c>
      <c r="E139" s="405"/>
      <c r="F139" s="142" t="str">
        <f>IF($F$10=" &lt;&lt;&lt; Select Index &gt;&gt;&gt;","",IF(VLOOKUP($F$10&amp;$A139,PAB_CTB_Database!$B:$J,9,FALSE)=0,"",VLOOKUP($F$10&amp;$A139,PAB_CTB_Database!$B:$J,9,FALSE)))</f>
        <v/>
      </c>
      <c r="G139" s="142">
        <f>IF($F$10=" &lt;&lt;&lt; Select Index &gt;&gt;&gt;","",IF(VLOOKUP($F$10&amp;$A139,PAB_CTB_Database!$B:$K,10,FALSE)=0,"",VLOOKUP($F$10&amp;$A139,PAB_CTB_Database!$B:$K,10,FALSE)))</f>
        <v>9857653.5405665375</v>
      </c>
      <c r="H139" s="143" t="str">
        <f>IF($F$10=" &lt;&lt;&lt; Select Index &gt;&gt;&gt;","",IF(F139="","",IF(VLOOKUP($F$10&amp;$A139,PAB_CTB_Database!$B:$L,11,FALSE)=0,"",VLOOKUP($F$10&amp;$A139,PAB_CTB_Database!$B:$L,11,FALSE))))</f>
        <v/>
      </c>
      <c r="I139" s="144" t="str">
        <f>IF($F$10=" &lt;&lt;&lt; Select Index &gt;&gt;&gt;","",IF(F139="","",IF(VLOOKUP($F$10&amp;$A139,PAB_CTB_Database!$B:$M,12,FALSE)=0,"",VLOOKUP($F$10&amp;$A139,PAB_CTB_Database!$B:$M,12,FALSE))))</f>
        <v/>
      </c>
      <c r="J139" s="145" t="str">
        <f>IF($F$10=" &lt;&lt;&lt; Select Index &gt;&gt;&gt;","",IF(VLOOKUP($F$10&amp;$A139,PAB_CTB_Database!$B:$N,13,FALSE)=0,"",VLOOKUP($F$10&amp;$A139,PAB_CTB_Database!$B:$N,13,FALSE)))</f>
        <v/>
      </c>
      <c r="K139" s="105" t="str">
        <f t="shared" si="6"/>
        <v/>
      </c>
      <c r="L139" s="115" t="str">
        <f t="shared" si="7"/>
        <v/>
      </c>
      <c r="M139" s="148" t="str">
        <f t="shared" si="8"/>
        <v/>
      </c>
      <c r="N139" s="115" t="str">
        <f t="shared" si="9"/>
        <v/>
      </c>
      <c r="O139" s="124" t="str">
        <f t="shared" si="10"/>
        <v/>
      </c>
      <c r="P139" s="110"/>
      <c r="Q139" s="118" t="str">
        <f>IF($F$10=" &lt;&lt;&lt; Select Index &gt;&gt;&gt;","",IF(D139="","",IF(VLOOKUP($F$10&amp;$A139,PAB_CTB_Database!$B:$O,14,FALSE)=0,"",VLOOKUP($F$10&amp;$A139,PAB_CTB_Database!$B:$O,14,FALSE))))</f>
        <v/>
      </c>
      <c r="R139" s="119" t="str">
        <f t="shared" si="11"/>
        <v/>
      </c>
      <c r="S139" s="15"/>
    </row>
    <row r="140" spans="1:19" x14ac:dyDescent="0.3">
      <c r="A140" s="84">
        <v>113</v>
      </c>
      <c r="B140" s="46"/>
      <c r="C140" s="88">
        <f>IF($F$10=" &lt;&lt;&lt; Select Index &gt;&gt;&gt;","",VLOOKUP(_xlfn.CONCAT($F$10,A140),PAB_CTB_Database!B:H,7,FALSE))</f>
        <v>48091</v>
      </c>
      <c r="D140" s="404" t="str">
        <f>IF($F$10=" &lt;&lt;&lt; Select Index &gt;&gt;&gt;","",IF(VLOOKUP($F$10&amp;$A140,PAB_CTB_Database!$B:$I,8,FALSE)=0,"",VLOOKUP($F$10&amp;$A140,PAB_CTB_Database!$B:$I,8,FALSE)))</f>
        <v/>
      </c>
      <c r="E140" s="405"/>
      <c r="F140" s="142" t="str">
        <f>IF($F$10=" &lt;&lt;&lt; Select Index &gt;&gt;&gt;","",IF(VLOOKUP($F$10&amp;$A140,PAB_CTB_Database!$B:$J,9,FALSE)=0,"",VLOOKUP($F$10&amp;$A140,PAB_CTB_Database!$B:$J,9,FALSE)))</f>
        <v/>
      </c>
      <c r="G140" s="142">
        <f>IF($F$10=" &lt;&lt;&lt; Select Index &gt;&gt;&gt;","",IF(VLOOKUP($F$10&amp;$A140,PAB_CTB_Database!$B:$K,10,FALSE)=0,"",VLOOKUP($F$10&amp;$A140,PAB_CTB_Database!$B:$K,10,FALSE)))</f>
        <v>9798218.7105613146</v>
      </c>
      <c r="H140" s="143" t="str">
        <f>IF($F$10=" &lt;&lt;&lt; Select Index &gt;&gt;&gt;","",IF(F140="","",IF(VLOOKUP($F$10&amp;$A140,PAB_CTB_Database!$B:$L,11,FALSE)=0,"",VLOOKUP($F$10&amp;$A140,PAB_CTB_Database!$B:$L,11,FALSE))))</f>
        <v/>
      </c>
      <c r="I140" s="144" t="str">
        <f>IF($F$10=" &lt;&lt;&lt; Select Index &gt;&gt;&gt;","",IF(F140="","",IF(VLOOKUP($F$10&amp;$A140,PAB_CTB_Database!$B:$M,12,FALSE)=0,"",VLOOKUP($F$10&amp;$A140,PAB_CTB_Database!$B:$M,12,FALSE))))</f>
        <v/>
      </c>
      <c r="J140" s="145" t="str">
        <f>IF($F$10=" &lt;&lt;&lt; Select Index &gt;&gt;&gt;","",IF(VLOOKUP($F$10&amp;$A140,PAB_CTB_Database!$B:$N,13,FALSE)=0,"",VLOOKUP($F$10&amp;$A140,PAB_CTB_Database!$B:$N,13,FALSE)))</f>
        <v/>
      </c>
      <c r="K140" s="105" t="str">
        <f t="shared" si="6"/>
        <v/>
      </c>
      <c r="L140" s="115" t="str">
        <f t="shared" si="7"/>
        <v/>
      </c>
      <c r="M140" s="148" t="str">
        <f t="shared" si="8"/>
        <v/>
      </c>
      <c r="N140" s="115" t="str">
        <f t="shared" si="9"/>
        <v/>
      </c>
      <c r="O140" s="124" t="str">
        <f t="shared" si="10"/>
        <v/>
      </c>
      <c r="P140" s="110"/>
      <c r="Q140" s="118" t="str">
        <f>IF($F$10=" &lt;&lt;&lt; Select Index &gt;&gt;&gt;","",IF(D140="","",IF(VLOOKUP($F$10&amp;$A140,PAB_CTB_Database!$B:$O,14,FALSE)=0,"",VLOOKUP($F$10&amp;$A140,PAB_CTB_Database!$B:$O,14,FALSE))))</f>
        <v/>
      </c>
      <c r="R140" s="119" t="str">
        <f t="shared" si="11"/>
        <v/>
      </c>
      <c r="S140" s="15"/>
    </row>
    <row r="141" spans="1:19" x14ac:dyDescent="0.3">
      <c r="A141" s="84">
        <v>114</v>
      </c>
      <c r="B141" s="46"/>
      <c r="C141" s="88">
        <f>IF($F$10=" &lt;&lt;&lt; Select Index &gt;&gt;&gt;","",VLOOKUP(_xlfn.CONCAT($F$10,A141),PAB_CTB_Database!B:H,7,FALSE))</f>
        <v>48121</v>
      </c>
      <c r="D141" s="404" t="str">
        <f>IF($F$10=" &lt;&lt;&lt; Select Index &gt;&gt;&gt;","",IF(VLOOKUP($F$10&amp;$A141,PAB_CTB_Database!$B:$I,8,FALSE)=0,"",VLOOKUP($F$10&amp;$A141,PAB_CTB_Database!$B:$I,8,FALSE)))</f>
        <v/>
      </c>
      <c r="E141" s="405"/>
      <c r="F141" s="142" t="str">
        <f>IF($F$10=" &lt;&lt;&lt; Select Index &gt;&gt;&gt;","",IF(VLOOKUP($F$10&amp;$A141,PAB_CTB_Database!$B:$J,9,FALSE)=0,"",VLOOKUP($F$10&amp;$A141,PAB_CTB_Database!$B:$J,9,FALSE)))</f>
        <v/>
      </c>
      <c r="G141" s="142">
        <f>IF($F$10=" &lt;&lt;&lt; Select Index &gt;&gt;&gt;","",IF(VLOOKUP($F$10&amp;$A141,PAB_CTB_Database!$B:$K,10,FALSE)=0,"",VLOOKUP($F$10&amp;$A141,PAB_CTB_Database!$B:$K,10,FALSE)))</f>
        <v>9739142.2314560525</v>
      </c>
      <c r="H141" s="143" t="str">
        <f>IF($F$10=" &lt;&lt;&lt; Select Index &gt;&gt;&gt;","",IF(F141="","",IF(VLOOKUP($F$10&amp;$A141,PAB_CTB_Database!$B:$L,11,FALSE)=0,"",VLOOKUP($F$10&amp;$A141,PAB_CTB_Database!$B:$L,11,FALSE))))</f>
        <v/>
      </c>
      <c r="I141" s="144" t="str">
        <f>IF($F$10=" &lt;&lt;&lt; Select Index &gt;&gt;&gt;","",IF(F141="","",IF(VLOOKUP($F$10&amp;$A141,PAB_CTB_Database!$B:$M,12,FALSE)=0,"",VLOOKUP($F$10&amp;$A141,PAB_CTB_Database!$B:$M,12,FALSE))))</f>
        <v/>
      </c>
      <c r="J141" s="145" t="str">
        <f>IF($F$10=" &lt;&lt;&lt; Select Index &gt;&gt;&gt;","",IF(VLOOKUP($F$10&amp;$A141,PAB_CTB_Database!$B:$N,13,FALSE)=0,"",VLOOKUP($F$10&amp;$A141,PAB_CTB_Database!$B:$N,13,FALSE)))</f>
        <v/>
      </c>
      <c r="K141" s="105" t="str">
        <f t="shared" si="6"/>
        <v/>
      </c>
      <c r="L141" s="115" t="str">
        <f t="shared" si="7"/>
        <v/>
      </c>
      <c r="M141" s="148" t="str">
        <f t="shared" si="8"/>
        <v/>
      </c>
      <c r="N141" s="115" t="str">
        <f t="shared" si="9"/>
        <v/>
      </c>
      <c r="O141" s="124" t="str">
        <f t="shared" si="10"/>
        <v/>
      </c>
      <c r="P141" s="110"/>
      <c r="Q141" s="118" t="str">
        <f>IF($F$10=" &lt;&lt;&lt; Select Index &gt;&gt;&gt;","",IF(D141="","",IF(VLOOKUP($F$10&amp;$A141,PAB_CTB_Database!$B:$O,14,FALSE)=0,"",VLOOKUP($F$10&amp;$A141,PAB_CTB_Database!$B:$O,14,FALSE))))</f>
        <v/>
      </c>
      <c r="R141" s="119" t="str">
        <f t="shared" si="11"/>
        <v/>
      </c>
      <c r="S141" s="15"/>
    </row>
    <row r="142" spans="1:19" x14ac:dyDescent="0.3">
      <c r="A142" s="84">
        <v>115</v>
      </c>
      <c r="B142" s="46"/>
      <c r="C142" s="88">
        <f>IF($F$10=" &lt;&lt;&lt; Select Index &gt;&gt;&gt;","",VLOOKUP(_xlfn.CONCAT($F$10,A142),PAB_CTB_Database!B:H,7,FALSE))</f>
        <v>48152</v>
      </c>
      <c r="D142" s="404" t="str">
        <f>IF($F$10=" &lt;&lt;&lt; Select Index &gt;&gt;&gt;","",IF(VLOOKUP($F$10&amp;$A142,PAB_CTB_Database!$B:$I,8,FALSE)=0,"",VLOOKUP($F$10&amp;$A142,PAB_CTB_Database!$B:$I,8,FALSE)))</f>
        <v/>
      </c>
      <c r="E142" s="405"/>
      <c r="F142" s="142" t="str">
        <f>IF($F$10=" &lt;&lt;&lt; Select Index &gt;&gt;&gt;","",IF(VLOOKUP($F$10&amp;$A142,PAB_CTB_Database!$B:$J,9,FALSE)=0,"",VLOOKUP($F$10&amp;$A142,PAB_CTB_Database!$B:$J,9,FALSE)))</f>
        <v/>
      </c>
      <c r="G142" s="142">
        <f>IF($F$10=" &lt;&lt;&lt; Select Index &gt;&gt;&gt;","",IF(VLOOKUP($F$10&amp;$A142,PAB_CTB_Database!$B:$K,10,FALSE)=0,"",VLOOKUP($F$10&amp;$A142,PAB_CTB_Database!$B:$K,10,FALSE)))</f>
        <v>9680421.9426427763</v>
      </c>
      <c r="H142" s="143" t="str">
        <f>IF($F$10=" &lt;&lt;&lt; Select Index &gt;&gt;&gt;","",IF(F142="","",IF(VLOOKUP($F$10&amp;$A142,PAB_CTB_Database!$B:$L,11,FALSE)=0,"",VLOOKUP($F$10&amp;$A142,PAB_CTB_Database!$B:$L,11,FALSE))))</f>
        <v/>
      </c>
      <c r="I142" s="144" t="str">
        <f>IF($F$10=" &lt;&lt;&lt; Select Index &gt;&gt;&gt;","",IF(F142="","",IF(VLOOKUP($F$10&amp;$A142,PAB_CTB_Database!$B:$M,12,FALSE)=0,"",VLOOKUP($F$10&amp;$A142,PAB_CTB_Database!$B:$M,12,FALSE))))</f>
        <v/>
      </c>
      <c r="J142" s="145" t="str">
        <f>IF($F$10=" &lt;&lt;&lt; Select Index &gt;&gt;&gt;","",IF(VLOOKUP($F$10&amp;$A142,PAB_CTB_Database!$B:$N,13,FALSE)=0,"",VLOOKUP($F$10&amp;$A142,PAB_CTB_Database!$B:$N,13,FALSE)))</f>
        <v/>
      </c>
      <c r="K142" s="105" t="str">
        <f t="shared" si="6"/>
        <v/>
      </c>
      <c r="L142" s="115" t="str">
        <f t="shared" si="7"/>
        <v/>
      </c>
      <c r="M142" s="148" t="str">
        <f t="shared" si="8"/>
        <v/>
      </c>
      <c r="N142" s="115" t="str">
        <f t="shared" si="9"/>
        <v/>
      </c>
      <c r="O142" s="124" t="str">
        <f t="shared" si="10"/>
        <v/>
      </c>
      <c r="P142" s="110"/>
      <c r="Q142" s="118" t="str">
        <f>IF($F$10=" &lt;&lt;&lt; Select Index &gt;&gt;&gt;","",IF(D142="","",IF(VLOOKUP($F$10&amp;$A142,PAB_CTB_Database!$B:$O,14,FALSE)=0,"",VLOOKUP($F$10&amp;$A142,PAB_CTB_Database!$B:$O,14,FALSE))))</f>
        <v/>
      </c>
      <c r="R142" s="119" t="str">
        <f t="shared" si="11"/>
        <v/>
      </c>
      <c r="S142" s="15"/>
    </row>
    <row r="143" spans="1:19" x14ac:dyDescent="0.3">
      <c r="A143" s="84">
        <v>116</v>
      </c>
      <c r="B143" s="46"/>
      <c r="C143" s="88">
        <f>IF($F$10=" &lt;&lt;&lt; Select Index &gt;&gt;&gt;","",VLOOKUP(_xlfn.CONCAT($F$10,A143),PAB_CTB_Database!B:H,7,FALSE))</f>
        <v>48182</v>
      </c>
      <c r="D143" s="404" t="str">
        <f>IF($F$10=" &lt;&lt;&lt; Select Index &gt;&gt;&gt;","",IF(VLOOKUP($F$10&amp;$A143,PAB_CTB_Database!$B:$I,8,FALSE)=0,"",VLOOKUP($F$10&amp;$A143,PAB_CTB_Database!$B:$I,8,FALSE)))</f>
        <v/>
      </c>
      <c r="E143" s="405"/>
      <c r="F143" s="142" t="str">
        <f>IF($F$10=" &lt;&lt;&lt; Select Index &gt;&gt;&gt;","",IF(VLOOKUP($F$10&amp;$A143,PAB_CTB_Database!$B:$J,9,FALSE)=0,"",VLOOKUP($F$10&amp;$A143,PAB_CTB_Database!$B:$J,9,FALSE)))</f>
        <v/>
      </c>
      <c r="G143" s="142">
        <f>IF($F$10=" &lt;&lt;&lt; Select Index &gt;&gt;&gt;","",IF(VLOOKUP($F$10&amp;$A143,PAB_CTB_Database!$B:$K,10,FALSE)=0,"",VLOOKUP($F$10&amp;$A143,PAB_CTB_Database!$B:$K,10,FALSE)))</f>
        <v>9622055.6965404879</v>
      </c>
      <c r="H143" s="143" t="str">
        <f>IF($F$10=" &lt;&lt;&lt; Select Index &gt;&gt;&gt;","",IF(F143="","",IF(VLOOKUP($F$10&amp;$A143,PAB_CTB_Database!$B:$L,11,FALSE)=0,"",VLOOKUP($F$10&amp;$A143,PAB_CTB_Database!$B:$L,11,FALSE))))</f>
        <v/>
      </c>
      <c r="I143" s="144" t="str">
        <f>IF($F$10=" &lt;&lt;&lt; Select Index &gt;&gt;&gt;","",IF(F143="","",IF(VLOOKUP($F$10&amp;$A143,PAB_CTB_Database!$B:$M,12,FALSE)=0,"",VLOOKUP($F$10&amp;$A143,PAB_CTB_Database!$B:$M,12,FALSE))))</f>
        <v/>
      </c>
      <c r="J143" s="145" t="str">
        <f>IF($F$10=" &lt;&lt;&lt; Select Index &gt;&gt;&gt;","",IF(VLOOKUP($F$10&amp;$A143,PAB_CTB_Database!$B:$N,13,FALSE)=0,"",VLOOKUP($F$10&amp;$A143,PAB_CTB_Database!$B:$N,13,FALSE)))</f>
        <v/>
      </c>
      <c r="K143" s="105" t="str">
        <f t="shared" si="6"/>
        <v/>
      </c>
      <c r="L143" s="115" t="str">
        <f t="shared" si="7"/>
        <v/>
      </c>
      <c r="M143" s="148" t="str">
        <f t="shared" si="8"/>
        <v/>
      </c>
      <c r="N143" s="115" t="str">
        <f t="shared" si="9"/>
        <v/>
      </c>
      <c r="O143" s="124" t="str">
        <f t="shared" si="10"/>
        <v/>
      </c>
      <c r="P143" s="110"/>
      <c r="Q143" s="118" t="str">
        <f>IF($F$10=" &lt;&lt;&lt; Select Index &gt;&gt;&gt;","",IF(D143="","",IF(VLOOKUP($F$10&amp;$A143,PAB_CTB_Database!$B:$O,14,FALSE)=0,"",VLOOKUP($F$10&amp;$A143,PAB_CTB_Database!$B:$O,14,FALSE))))</f>
        <v/>
      </c>
      <c r="R143" s="119" t="str">
        <f t="shared" si="11"/>
        <v/>
      </c>
      <c r="S143" s="15"/>
    </row>
    <row r="144" spans="1:19" x14ac:dyDescent="0.3">
      <c r="A144" s="84">
        <v>117</v>
      </c>
      <c r="B144" s="46"/>
      <c r="C144" s="88">
        <f>IF($F$10=" &lt;&lt;&lt; Select Index &gt;&gt;&gt;","",VLOOKUP(_xlfn.CONCAT($F$10,A144),PAB_CTB_Database!B:H,7,FALSE))</f>
        <v>48213</v>
      </c>
      <c r="D144" s="404" t="str">
        <f>IF($F$10=" &lt;&lt;&lt; Select Index &gt;&gt;&gt;","",IF(VLOOKUP($F$10&amp;$A144,PAB_CTB_Database!$B:$I,8,FALSE)=0,"",VLOOKUP($F$10&amp;$A144,PAB_CTB_Database!$B:$I,8,FALSE)))</f>
        <v/>
      </c>
      <c r="E144" s="405"/>
      <c r="F144" s="142" t="str">
        <f>IF($F$10=" &lt;&lt;&lt; Select Index &gt;&gt;&gt;","",IF(VLOOKUP($F$10&amp;$A144,PAB_CTB_Database!$B:$J,9,FALSE)=0,"",VLOOKUP($F$10&amp;$A144,PAB_CTB_Database!$B:$J,9,FALSE)))</f>
        <v/>
      </c>
      <c r="G144" s="142">
        <f>IF($F$10=" &lt;&lt;&lt; Select Index &gt;&gt;&gt;","",IF(VLOOKUP($F$10&amp;$A144,PAB_CTB_Database!$B:$K,10,FALSE)=0,"",VLOOKUP($F$10&amp;$A144,PAB_CTB_Database!$B:$K,10,FALSE)))</f>
        <v>9564041.3585166149</v>
      </c>
      <c r="H144" s="143" t="str">
        <f>IF($F$10=" &lt;&lt;&lt; Select Index &gt;&gt;&gt;","",IF(F144="","",IF(VLOOKUP($F$10&amp;$A144,PAB_CTB_Database!$B:$L,11,FALSE)=0,"",VLOOKUP($F$10&amp;$A144,PAB_CTB_Database!$B:$L,11,FALSE))))</f>
        <v/>
      </c>
      <c r="I144" s="144" t="str">
        <f>IF($F$10=" &lt;&lt;&lt; Select Index &gt;&gt;&gt;","",IF(F144="","",IF(VLOOKUP($F$10&amp;$A144,PAB_CTB_Database!$B:$M,12,FALSE)=0,"",VLOOKUP($F$10&amp;$A144,PAB_CTB_Database!$B:$M,12,FALSE))))</f>
        <v/>
      </c>
      <c r="J144" s="145" t="str">
        <f>IF($F$10=" &lt;&lt;&lt; Select Index &gt;&gt;&gt;","",IF(VLOOKUP($F$10&amp;$A144,PAB_CTB_Database!$B:$N,13,FALSE)=0,"",VLOOKUP($F$10&amp;$A144,PAB_CTB_Database!$B:$N,13,FALSE)))</f>
        <v/>
      </c>
      <c r="K144" s="105" t="str">
        <f t="shared" si="6"/>
        <v/>
      </c>
      <c r="L144" s="115" t="str">
        <f t="shared" si="7"/>
        <v/>
      </c>
      <c r="M144" s="148" t="str">
        <f t="shared" si="8"/>
        <v/>
      </c>
      <c r="N144" s="115" t="str">
        <f t="shared" si="9"/>
        <v/>
      </c>
      <c r="O144" s="124" t="str">
        <f t="shared" si="10"/>
        <v/>
      </c>
      <c r="P144" s="110"/>
      <c r="Q144" s="118" t="str">
        <f>IF($F$10=" &lt;&lt;&lt; Select Index &gt;&gt;&gt;","",IF(D144="","",IF(VLOOKUP($F$10&amp;$A144,PAB_CTB_Database!$B:$O,14,FALSE)=0,"",VLOOKUP($F$10&amp;$A144,PAB_CTB_Database!$B:$O,14,FALSE))))</f>
        <v/>
      </c>
      <c r="R144" s="119" t="str">
        <f t="shared" si="11"/>
        <v/>
      </c>
      <c r="S144" s="15"/>
    </row>
    <row r="145" spans="1:19" x14ac:dyDescent="0.3">
      <c r="A145" s="84">
        <v>118</v>
      </c>
      <c r="B145" s="46"/>
      <c r="C145" s="88">
        <f>IF($F$10=" &lt;&lt;&lt; Select Index &gt;&gt;&gt;","",VLOOKUP(_xlfn.CONCAT($F$10,A145),PAB_CTB_Database!B:H,7,FALSE))</f>
        <v>48244</v>
      </c>
      <c r="D145" s="404" t="str">
        <f>IF($F$10=" &lt;&lt;&lt; Select Index &gt;&gt;&gt;","",IF(VLOOKUP($F$10&amp;$A145,PAB_CTB_Database!$B:$I,8,FALSE)=0,"",VLOOKUP($F$10&amp;$A145,PAB_CTB_Database!$B:$I,8,FALSE)))</f>
        <v/>
      </c>
      <c r="E145" s="405"/>
      <c r="F145" s="142" t="str">
        <f>IF($F$10=" &lt;&lt;&lt; Select Index &gt;&gt;&gt;","",IF(VLOOKUP($F$10&amp;$A145,PAB_CTB_Database!$B:$J,9,FALSE)=0,"",VLOOKUP($F$10&amp;$A145,PAB_CTB_Database!$B:$J,9,FALSE)))</f>
        <v/>
      </c>
      <c r="G145" s="142">
        <f>IF($F$10=" &lt;&lt;&lt; Select Index &gt;&gt;&gt;","",IF(VLOOKUP($F$10&amp;$A145,PAB_CTB_Database!$B:$K,10,FALSE)=0,"",VLOOKUP($F$10&amp;$A145,PAB_CTB_Database!$B:$K,10,FALSE)))</f>
        <v>9506376.8068089392</v>
      </c>
      <c r="H145" s="143" t="str">
        <f>IF($F$10=" &lt;&lt;&lt; Select Index &gt;&gt;&gt;","",IF(F145="","",IF(VLOOKUP($F$10&amp;$A145,PAB_CTB_Database!$B:$L,11,FALSE)=0,"",VLOOKUP($F$10&amp;$A145,PAB_CTB_Database!$B:$L,11,FALSE))))</f>
        <v/>
      </c>
      <c r="I145" s="144" t="str">
        <f>IF($F$10=" &lt;&lt;&lt; Select Index &gt;&gt;&gt;","",IF(F145="","",IF(VLOOKUP($F$10&amp;$A145,PAB_CTB_Database!$B:$M,12,FALSE)=0,"",VLOOKUP($F$10&amp;$A145,PAB_CTB_Database!$B:$M,12,FALSE))))</f>
        <v/>
      </c>
      <c r="J145" s="145" t="str">
        <f>IF($F$10=" &lt;&lt;&lt; Select Index &gt;&gt;&gt;","",IF(VLOOKUP($F$10&amp;$A145,PAB_CTB_Database!$B:$N,13,FALSE)=0,"",VLOOKUP($F$10&amp;$A145,PAB_CTB_Database!$B:$N,13,FALSE)))</f>
        <v/>
      </c>
      <c r="K145" s="105" t="str">
        <f t="shared" si="6"/>
        <v/>
      </c>
      <c r="L145" s="115" t="str">
        <f t="shared" si="7"/>
        <v/>
      </c>
      <c r="M145" s="148" t="str">
        <f t="shared" si="8"/>
        <v/>
      </c>
      <c r="N145" s="115" t="str">
        <f t="shared" si="9"/>
        <v/>
      </c>
      <c r="O145" s="124" t="str">
        <f t="shared" si="10"/>
        <v/>
      </c>
      <c r="P145" s="110"/>
      <c r="Q145" s="118" t="str">
        <f>IF($F$10=" &lt;&lt;&lt; Select Index &gt;&gt;&gt;","",IF(D145="","",IF(VLOOKUP($F$10&amp;$A145,PAB_CTB_Database!$B:$O,14,FALSE)=0,"",VLOOKUP($F$10&amp;$A145,PAB_CTB_Database!$B:$O,14,FALSE))))</f>
        <v/>
      </c>
      <c r="R145" s="119" t="str">
        <f t="shared" si="11"/>
        <v/>
      </c>
      <c r="S145" s="15"/>
    </row>
    <row r="146" spans="1:19" x14ac:dyDescent="0.3">
      <c r="A146" s="84">
        <v>119</v>
      </c>
      <c r="B146" s="47"/>
      <c r="C146" s="89">
        <f>IF($F$10=" &lt;&lt;&lt; Select Index &gt;&gt;&gt;","",VLOOKUP(_xlfn.CONCAT($F$10,A146),PAB_CTB_Database!B:H,7,FALSE))</f>
        <v>48272</v>
      </c>
      <c r="D146" s="408" t="str">
        <f>IF($F$10=" &lt;&lt;&lt; Select Index &gt;&gt;&gt;","",IF(VLOOKUP($F$10&amp;$A146,PAB_CTB_Database!$B:$I,8,FALSE)=0,"",VLOOKUP($F$10&amp;$A146,PAB_CTB_Database!$B:$I,8,FALSE)))</f>
        <v/>
      </c>
      <c r="E146" s="409"/>
      <c r="F146" s="150" t="str">
        <f>IF($F$10=" &lt;&lt;&lt; Select Index &gt;&gt;&gt;","",IF(VLOOKUP($F$10&amp;$A146,PAB_CTB_Database!$B:$J,9,FALSE)=0,"",VLOOKUP($F$10&amp;$A146,PAB_CTB_Database!$B:$J,9,FALSE)))</f>
        <v/>
      </c>
      <c r="G146" s="150">
        <f>IF($F$10=" &lt;&lt;&lt; Select Index &gt;&gt;&gt;","",IF(VLOOKUP($F$10&amp;$A146,PAB_CTB_Database!$B:$K,10,FALSE)=0,"",VLOOKUP($F$10&amp;$A146,PAB_CTB_Database!$B:$K,10,FALSE)))</f>
        <v>9449059.9324480053</v>
      </c>
      <c r="H146" s="151" t="str">
        <f>IF($F$10=" &lt;&lt;&lt; Select Index &gt;&gt;&gt;","",IF(F146="","",IF(VLOOKUP($F$10&amp;$A146,PAB_CTB_Database!$B:$L,11,FALSE)=0,"",VLOOKUP($F$10&amp;$A146,PAB_CTB_Database!$B:$L,11,FALSE))))</f>
        <v/>
      </c>
      <c r="I146" s="152" t="str">
        <f>IF($F$10=" &lt;&lt;&lt; Select Index &gt;&gt;&gt;","",IF(F146="","",IF(VLOOKUP($F$10&amp;$A146,PAB_CTB_Database!$B:$M,12,FALSE)=0,"",VLOOKUP($F$10&amp;$A146,PAB_CTB_Database!$B:$M,12,FALSE))))</f>
        <v/>
      </c>
      <c r="J146" s="153" t="str">
        <f>IF($F$10=" &lt;&lt;&lt; Select Index &gt;&gt;&gt;","",IF(VLOOKUP($F$10&amp;$A146,PAB_CTB_Database!$B:$N,13,FALSE)=0,"",VLOOKUP($F$10&amp;$A146,PAB_CTB_Database!$B:$N,13,FALSE)))</f>
        <v/>
      </c>
      <c r="K146" s="113" t="str">
        <f t="shared" si="6"/>
        <v/>
      </c>
      <c r="L146" s="116" t="str">
        <f t="shared" si="7"/>
        <v/>
      </c>
      <c r="M146" s="154" t="str">
        <f t="shared" si="8"/>
        <v/>
      </c>
      <c r="N146" s="116" t="str">
        <f t="shared" si="9"/>
        <v/>
      </c>
      <c r="O146" s="125" t="str">
        <f t="shared" si="10"/>
        <v/>
      </c>
      <c r="P146" s="110"/>
      <c r="Q146" s="120" t="str">
        <f>IF($F$10=" &lt;&lt;&lt; Select Index &gt;&gt;&gt;","",IF(D146="","",IF(VLOOKUP($F$10&amp;$A146,PAB_CTB_Database!$B:$O,14,FALSE)=0,"",VLOOKUP($F$10&amp;$A146,PAB_CTB_Database!$B:$O,14,FALSE))))</f>
        <v/>
      </c>
      <c r="R146" s="121" t="str">
        <f t="shared" si="11"/>
        <v/>
      </c>
      <c r="S146" s="15"/>
    </row>
    <row r="147" spans="1:19" ht="7.5" customHeight="1" x14ac:dyDescent="0.3">
      <c r="A147" s="15"/>
      <c r="B147" s="15"/>
      <c r="C147" s="7"/>
      <c r="D147" s="3"/>
      <c r="E147" s="3"/>
      <c r="F147" s="2"/>
      <c r="G147" s="2"/>
      <c r="H147" s="4"/>
      <c r="I147" s="5"/>
      <c r="J147" s="6"/>
      <c r="K147" s="15"/>
      <c r="L147" s="90"/>
      <c r="M147" s="15"/>
      <c r="N147" s="15"/>
      <c r="O147" s="15"/>
      <c r="P147" s="15"/>
      <c r="Q147" s="15"/>
      <c r="R147" s="15"/>
      <c r="S147" s="15"/>
    </row>
    <row r="148" spans="1:19" ht="7.5" customHeight="1" x14ac:dyDescent="0.3">
      <c r="A148" s="15"/>
      <c r="B148" s="15"/>
      <c r="C148" s="7"/>
      <c r="D148" s="3"/>
      <c r="E148" s="3"/>
      <c r="F148" s="2"/>
      <c r="G148" s="2"/>
      <c r="H148" s="4"/>
      <c r="I148" s="5"/>
      <c r="J148" s="6"/>
      <c r="K148" s="15"/>
      <c r="L148" s="90"/>
      <c r="M148" s="15"/>
      <c r="N148" s="15"/>
      <c r="O148" s="15"/>
      <c r="P148" s="15"/>
      <c r="Q148" s="15"/>
      <c r="R148" s="15"/>
      <c r="S148" s="15"/>
    </row>
    <row r="149" spans="1:19" ht="15" customHeight="1" x14ac:dyDescent="0.3">
      <c r="A149" s="15"/>
      <c r="B149" s="292" t="str">
        <f>IF(B3="S&amp;P Dow Jones Indices Climate Transition Index Historical Rebalance Results",REF!AE4,IF(B3="S&amp;P Dow Jones Indices Paris-Aligned Index Historical Rebalance Results",REF!AE5,REF!AE6))</f>
        <v>Source: S&amp;P Dow Jones Indices Limited; S&amp;P Global Sustainable1.  Data as of the date of publishing of this report. For the Paris-Aligned Index's launch date, please see the index's methodology.  All data prior to index launch date is back-tested hypothetical data.  Past performance is no guarantee of future results.  Table is provided for illustrative purposes and reflects hypothetical historical performance.  Please see the Performance Disclosure linked at the end of this post for more information regarding the inherent limitations associated with back-tested performance.</v>
      </c>
      <c r="C149" s="292"/>
      <c r="D149" s="292"/>
      <c r="E149" s="292"/>
      <c r="F149" s="292"/>
      <c r="G149" s="292"/>
      <c r="H149" s="292"/>
      <c r="I149" s="292"/>
      <c r="J149" s="292"/>
      <c r="K149" s="292"/>
      <c r="L149" s="292"/>
      <c r="M149" s="292"/>
      <c r="N149" s="292"/>
      <c r="O149" s="292"/>
      <c r="P149" s="292"/>
      <c r="Q149" s="292"/>
      <c r="R149" s="292"/>
      <c r="S149" s="15"/>
    </row>
    <row r="150" spans="1:19" ht="11.25" customHeight="1" x14ac:dyDescent="0.3">
      <c r="A150" s="15"/>
      <c r="B150" s="292"/>
      <c r="C150" s="292"/>
      <c r="D150" s="292"/>
      <c r="E150" s="292"/>
      <c r="F150" s="292"/>
      <c r="G150" s="292"/>
      <c r="H150" s="292"/>
      <c r="I150" s="292"/>
      <c r="J150" s="292"/>
      <c r="K150" s="292"/>
      <c r="L150" s="292"/>
      <c r="M150" s="292"/>
      <c r="N150" s="292"/>
      <c r="O150" s="292"/>
      <c r="P150" s="292"/>
      <c r="Q150" s="292"/>
      <c r="R150" s="292"/>
      <c r="S150" s="15"/>
    </row>
    <row r="151" spans="1:19" ht="72.75" customHeight="1" x14ac:dyDescent="0.3">
      <c r="A151" s="15"/>
      <c r="B151" s="407" t="s">
        <v>135</v>
      </c>
      <c r="C151" s="407"/>
      <c r="D151" s="407"/>
      <c r="E151" s="407"/>
      <c r="F151" s="407"/>
      <c r="G151" s="407"/>
      <c r="H151" s="407"/>
      <c r="I151" s="407"/>
      <c r="J151" s="407"/>
      <c r="K151" s="407"/>
      <c r="L151" s="407"/>
      <c r="M151" s="407"/>
      <c r="N151" s="407"/>
      <c r="O151" s="407"/>
      <c r="P151" s="407"/>
      <c r="Q151" s="407"/>
      <c r="R151" s="407"/>
      <c r="S151" s="15"/>
    </row>
    <row r="152" spans="1:19" ht="42.75" customHeight="1" x14ac:dyDescent="0.3">
      <c r="A152" s="15"/>
      <c r="B152" s="44"/>
      <c r="C152" s="44"/>
      <c r="D152" s="44"/>
      <c r="E152" s="44"/>
      <c r="F152" s="44"/>
      <c r="G152" s="44"/>
      <c r="H152" s="44"/>
      <c r="I152" s="44"/>
      <c r="J152" s="44"/>
      <c r="K152" s="44"/>
      <c r="L152" s="44"/>
      <c r="M152" s="44"/>
      <c r="N152" s="44"/>
      <c r="O152" s="44"/>
      <c r="P152" s="44"/>
      <c r="Q152" s="44"/>
      <c r="R152" s="44"/>
      <c r="S152" s="15"/>
    </row>
    <row r="153" spans="1:19" ht="57.75" customHeight="1" x14ac:dyDescent="0.3">
      <c r="A153" s="15"/>
      <c r="B153" s="44"/>
      <c r="C153" s="44"/>
      <c r="D153" s="44"/>
      <c r="E153" s="44"/>
      <c r="F153" s="44"/>
      <c r="G153" s="44"/>
      <c r="H153" s="44"/>
      <c r="I153" s="44"/>
      <c r="J153" s="44"/>
      <c r="K153" s="44"/>
      <c r="L153" s="44"/>
      <c r="M153" s="44"/>
      <c r="N153" s="44"/>
      <c r="O153" s="44"/>
      <c r="P153" s="44"/>
      <c r="Q153" s="44"/>
      <c r="R153" s="44"/>
      <c r="S153" s="15"/>
    </row>
    <row r="154" spans="1:19" ht="24.75" customHeight="1" x14ac:dyDescent="0.3">
      <c r="A154" s="15"/>
      <c r="B154" s="44"/>
      <c r="C154" s="44"/>
      <c r="D154" s="44"/>
      <c r="E154" s="44"/>
      <c r="F154" s="44"/>
      <c r="G154" s="44"/>
      <c r="H154" s="44"/>
      <c r="I154" s="44"/>
      <c r="J154" s="44"/>
      <c r="K154" s="44"/>
      <c r="L154" s="44"/>
      <c r="M154" s="44"/>
      <c r="N154" s="44"/>
      <c r="O154" s="44"/>
      <c r="P154" s="44"/>
      <c r="Q154" s="44"/>
      <c r="R154" s="44"/>
      <c r="S154" s="15"/>
    </row>
  </sheetData>
  <sheetProtection algorithmName="SHA-512" hashValue="uxjjppuK7KWEK4XdgdrqQ1/MSHv+uDxgi7YFpi+uQk/mTf4XRZhDWQbX3CjOJtBV7+4CTG+osqb7ftvpk0qq4Q==" saltValue="z/obNao3bhtGwUyMFadWXQ==" spinCount="100000" sheet="1" objects="1" scenarios="1"/>
  <mergeCells count="143">
    <mergeCell ref="D102:E102"/>
    <mergeCell ref="D103:E103"/>
    <mergeCell ref="D104:E104"/>
    <mergeCell ref="D123:E123"/>
    <mergeCell ref="D124:E124"/>
    <mergeCell ref="D125:E125"/>
    <mergeCell ref="D126:E126"/>
    <mergeCell ref="D127:E127"/>
    <mergeCell ref="D122:E122"/>
    <mergeCell ref="D116:E116"/>
    <mergeCell ref="D108:E108"/>
    <mergeCell ref="D109:E109"/>
    <mergeCell ref="D105:E105"/>
    <mergeCell ref="D106:E106"/>
    <mergeCell ref="D141:E141"/>
    <mergeCell ref="D142:E142"/>
    <mergeCell ref="D143:E143"/>
    <mergeCell ref="D144:E144"/>
    <mergeCell ref="D145:E145"/>
    <mergeCell ref="B149:R150"/>
    <mergeCell ref="B151:R151"/>
    <mergeCell ref="D146:E146"/>
    <mergeCell ref="D128:E128"/>
    <mergeCell ref="D129:E129"/>
    <mergeCell ref="D130:E130"/>
    <mergeCell ref="D131:E131"/>
    <mergeCell ref="D132:E132"/>
    <mergeCell ref="D98:E98"/>
    <mergeCell ref="D99:E99"/>
    <mergeCell ref="D100:E100"/>
    <mergeCell ref="D140:E140"/>
    <mergeCell ref="D133:E133"/>
    <mergeCell ref="D134:E134"/>
    <mergeCell ref="D135:E135"/>
    <mergeCell ref="D136:E136"/>
    <mergeCell ref="D137:E137"/>
    <mergeCell ref="D138:E138"/>
    <mergeCell ref="D139:E139"/>
    <mergeCell ref="D111:E111"/>
    <mergeCell ref="D112:E112"/>
    <mergeCell ref="D113:E113"/>
    <mergeCell ref="D114:E114"/>
    <mergeCell ref="D115:E115"/>
    <mergeCell ref="D117:E117"/>
    <mergeCell ref="D118:E118"/>
    <mergeCell ref="D119:E119"/>
    <mergeCell ref="D121:E121"/>
    <mergeCell ref="D120:E120"/>
    <mergeCell ref="D110:E110"/>
    <mergeCell ref="D107:E107"/>
    <mergeCell ref="D101:E101"/>
    <mergeCell ref="D89:E89"/>
    <mergeCell ref="D90:E90"/>
    <mergeCell ref="D91:E91"/>
    <mergeCell ref="D92:E92"/>
    <mergeCell ref="D93:E93"/>
    <mergeCell ref="D94:E94"/>
    <mergeCell ref="D95:E95"/>
    <mergeCell ref="D96:E96"/>
    <mergeCell ref="D97:E97"/>
    <mergeCell ref="D86:E86"/>
    <mergeCell ref="D87:E87"/>
    <mergeCell ref="D83:E83"/>
    <mergeCell ref="D84:E84"/>
    <mergeCell ref="D85:E85"/>
    <mergeCell ref="D80:E80"/>
    <mergeCell ref="D81:E81"/>
    <mergeCell ref="D82:E82"/>
    <mergeCell ref="D88:E88"/>
    <mergeCell ref="D59:E59"/>
    <mergeCell ref="D60:E60"/>
    <mergeCell ref="D73:E73"/>
    <mergeCell ref="D74:E74"/>
    <mergeCell ref="D75:E75"/>
    <mergeCell ref="D76:E76"/>
    <mergeCell ref="D77:E77"/>
    <mergeCell ref="D78:E78"/>
    <mergeCell ref="D79:E79"/>
    <mergeCell ref="D66:E66"/>
    <mergeCell ref="D67:E67"/>
    <mergeCell ref="D68:E68"/>
    <mergeCell ref="D69:E69"/>
    <mergeCell ref="D70:E70"/>
    <mergeCell ref="D71:E71"/>
    <mergeCell ref="D72:E72"/>
    <mergeCell ref="D61:E61"/>
    <mergeCell ref="D62:E62"/>
    <mergeCell ref="D63:E63"/>
    <mergeCell ref="D64:E64"/>
    <mergeCell ref="D65:E65"/>
    <mergeCell ref="D42:E42"/>
    <mergeCell ref="D37:E37"/>
    <mergeCell ref="D38:E38"/>
    <mergeCell ref="D39:E39"/>
    <mergeCell ref="D40:E40"/>
    <mergeCell ref="D41:E41"/>
    <mergeCell ref="D56:E56"/>
    <mergeCell ref="D57:E57"/>
    <mergeCell ref="D58:E58"/>
    <mergeCell ref="D43:E43"/>
    <mergeCell ref="D44:E44"/>
    <mergeCell ref="D45:E45"/>
    <mergeCell ref="D46:E46"/>
    <mergeCell ref="D47:E47"/>
    <mergeCell ref="D48:E48"/>
    <mergeCell ref="D49:E49"/>
    <mergeCell ref="D55:E55"/>
    <mergeCell ref="D50:E50"/>
    <mergeCell ref="D51:E51"/>
    <mergeCell ref="D52:E52"/>
    <mergeCell ref="D53:E53"/>
    <mergeCell ref="D54:E54"/>
    <mergeCell ref="D27:E27"/>
    <mergeCell ref="D28:E28"/>
    <mergeCell ref="D29:E29"/>
    <mergeCell ref="D30:E30"/>
    <mergeCell ref="D36:E36"/>
    <mergeCell ref="D32:E32"/>
    <mergeCell ref="D33:E33"/>
    <mergeCell ref="D34:E34"/>
    <mergeCell ref="D35:E35"/>
    <mergeCell ref="D31:E31"/>
    <mergeCell ref="F6:J6"/>
    <mergeCell ref="F8:J8"/>
    <mergeCell ref="F10:J10"/>
    <mergeCell ref="H23:H26"/>
    <mergeCell ref="I23:I26"/>
    <mergeCell ref="B23:C26"/>
    <mergeCell ref="F24:F26"/>
    <mergeCell ref="G24:G26"/>
    <mergeCell ref="J23:J26"/>
    <mergeCell ref="B15:R15"/>
    <mergeCell ref="R23:R26"/>
    <mergeCell ref="O23:O26"/>
    <mergeCell ref="Q23:Q26"/>
    <mergeCell ref="D23:E26"/>
    <mergeCell ref="M23:M26"/>
    <mergeCell ref="N23:N26"/>
    <mergeCell ref="K23:K26"/>
    <mergeCell ref="L23:L26"/>
    <mergeCell ref="B6:D6"/>
    <mergeCell ref="B8:D8"/>
    <mergeCell ref="B10:D10"/>
  </mergeCells>
  <conditionalFormatting sqref="D27:R146">
    <cfRule type="cellIs" dxfId="1" priority="5" operator="equal">
      <formula>"***"</formula>
    </cfRule>
  </conditionalFormatting>
  <conditionalFormatting sqref="L27:L146 N27:N146 P27:Q146">
    <cfRule type="cellIs" dxfId="0" priority="4" operator="equal">
      <formula>"NOT MET"</formula>
    </cfRule>
  </conditionalFormatting>
  <printOptions gridLines="1"/>
  <pageMargins left="0" right="0" top="0" bottom="0" header="0.3" footer="0.3"/>
  <pageSetup scale="4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30F45B-B9F8-413E-8DAC-1DD8A4EF6CD8}">
          <x14:formula1>
            <xm:f>'PAB+CTB LISTS'!$A$3:$A$11</xm:f>
          </x14:formula1>
          <xm:sqref>F10:J10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9FEE-BC8B-4FCE-9C99-6829B5617D8C}">
  <sheetPr>
    <tabColor theme="1"/>
    <pageSetUpPr fitToPage="1"/>
  </sheetPr>
  <dimension ref="A1:AF180"/>
  <sheetViews>
    <sheetView zoomScale="85" zoomScaleNormal="85" workbookViewId="0">
      <selection activeCell="B17" sqref="B17:Q17"/>
    </sheetView>
  </sheetViews>
  <sheetFormatPr defaultColWidth="9.08984375" defaultRowHeight="14" x14ac:dyDescent="0.3"/>
  <cols>
    <col min="1" max="1" width="5.6328125" style="64" customWidth="1"/>
    <col min="2" max="4" width="5.453125" style="64" customWidth="1"/>
    <col min="5" max="5" width="8.54296875" style="64" customWidth="1"/>
    <col min="6" max="6" width="15.6328125" style="64" customWidth="1"/>
    <col min="7" max="7" width="13.36328125" style="64" customWidth="1"/>
    <col min="8" max="8" width="1.54296875" style="64" customWidth="1"/>
    <col min="9" max="9" width="22.90625" style="64" customWidth="1"/>
    <col min="10" max="10" width="2.36328125" style="64" customWidth="1"/>
    <col min="11" max="11" width="22.90625" style="64" customWidth="1"/>
    <col min="12" max="12" width="1.453125" style="64" customWidth="1"/>
    <col min="13" max="13" width="20.90625" style="64" customWidth="1"/>
    <col min="14" max="14" width="5.6328125" style="64" customWidth="1"/>
    <col min="15" max="15" width="40.90625" style="64" customWidth="1"/>
    <col min="16" max="16" width="2.90625" style="64" customWidth="1"/>
    <col min="17" max="17" width="35.54296875" style="64" customWidth="1"/>
    <col min="18" max="18" width="2.90625" style="64" customWidth="1"/>
    <col min="19" max="19" width="14.36328125" style="64" customWidth="1"/>
    <col min="20" max="20" width="2.90625" style="64" customWidth="1"/>
    <col min="21" max="21" width="11.453125" style="64" customWidth="1"/>
    <col min="22" max="22" width="2.90625" style="64" customWidth="1"/>
    <col min="23" max="24" width="16.36328125" style="64" customWidth="1"/>
    <col min="25" max="25" width="27.54296875" style="64" customWidth="1"/>
    <col min="26" max="26" width="5.6328125" style="64" customWidth="1"/>
    <col min="27" max="27" width="9.08984375" style="64"/>
    <col min="28" max="28" width="14" style="64" customWidth="1"/>
    <col min="29" max="29" width="22.6328125" style="64" customWidth="1"/>
    <col min="30" max="30" width="16.453125" style="64" customWidth="1"/>
    <col min="31" max="31" width="9.08984375" style="64"/>
    <col min="32" max="32" width="13" style="64" customWidth="1"/>
    <col min="33" max="33" width="9.08984375" style="64"/>
    <col min="34" max="34" width="11" style="64" customWidth="1"/>
    <col min="35" max="16384" width="9.08984375" style="64"/>
  </cols>
  <sheetData>
    <row r="1" spans="1:32" ht="75" customHeight="1" x14ac:dyDescent="0.3">
      <c r="A1" s="63"/>
      <c r="B1" s="63"/>
      <c r="C1" s="63"/>
      <c r="D1" s="63"/>
      <c r="E1" s="63"/>
      <c r="F1" s="63"/>
      <c r="G1" s="63"/>
      <c r="H1" s="63"/>
      <c r="I1" s="63"/>
      <c r="J1" s="63"/>
      <c r="K1" s="63"/>
      <c r="L1" s="63"/>
      <c r="M1" s="63"/>
      <c r="N1" s="63"/>
      <c r="O1" s="63"/>
      <c r="P1" s="63"/>
      <c r="Q1" s="63"/>
      <c r="R1" s="63"/>
      <c r="S1" s="63"/>
      <c r="T1" s="63"/>
      <c r="U1" s="63"/>
      <c r="V1" s="63"/>
      <c r="W1" s="63"/>
      <c r="X1" s="63"/>
      <c r="Y1" s="63"/>
      <c r="Z1" s="63"/>
    </row>
    <row r="2" spans="1:32" ht="1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32" ht="30.75" customHeight="1" x14ac:dyDescent="0.3">
      <c r="A3" s="15"/>
      <c r="B3" s="96" t="s">
        <v>649</v>
      </c>
      <c r="C3" s="34"/>
      <c r="D3" s="34"/>
      <c r="E3" s="15"/>
      <c r="F3" s="15"/>
      <c r="G3" s="15"/>
      <c r="H3" s="15"/>
      <c r="I3" s="15"/>
      <c r="J3" s="15"/>
      <c r="K3" s="15"/>
      <c r="L3" s="15"/>
      <c r="M3" s="15"/>
      <c r="N3" s="15"/>
      <c r="O3" s="15"/>
      <c r="P3" s="15"/>
      <c r="Q3" s="15"/>
      <c r="R3" s="15"/>
      <c r="S3" s="15"/>
      <c r="T3" s="15"/>
      <c r="U3" s="15"/>
      <c r="V3" s="15"/>
      <c r="W3" s="15"/>
      <c r="X3" s="15"/>
      <c r="Y3" s="264" t="s">
        <v>0</v>
      </c>
      <c r="Z3" s="15"/>
    </row>
    <row r="4" spans="1:32" ht="15" customHeight="1" x14ac:dyDescent="0.3">
      <c r="A4" s="15"/>
      <c r="B4" s="34"/>
      <c r="C4" s="34"/>
      <c r="D4" s="34"/>
      <c r="E4" s="15"/>
      <c r="F4" s="15"/>
      <c r="G4" s="15"/>
      <c r="H4" s="15"/>
      <c r="I4" s="15"/>
      <c r="J4" s="15"/>
      <c r="K4" s="15"/>
      <c r="L4" s="15"/>
      <c r="M4" s="15"/>
      <c r="N4" s="15"/>
      <c r="O4" s="15"/>
      <c r="P4" s="15"/>
      <c r="Q4" s="15"/>
      <c r="R4" s="15"/>
      <c r="S4" s="15"/>
      <c r="T4" s="15"/>
      <c r="U4" s="15"/>
      <c r="V4" s="15"/>
      <c r="W4" s="15"/>
      <c r="X4" s="15"/>
      <c r="Y4" s="15"/>
      <c r="Z4" s="15"/>
    </row>
    <row r="5" spans="1:32" ht="39" customHeight="1" x14ac:dyDescent="0.4">
      <c r="A5" s="15"/>
      <c r="B5" s="224" t="s">
        <v>1</v>
      </c>
      <c r="C5" s="14"/>
      <c r="D5" s="14"/>
      <c r="E5" s="15"/>
      <c r="F5" s="15"/>
      <c r="G5" s="15"/>
      <c r="H5" s="15"/>
      <c r="I5" s="15"/>
      <c r="J5" s="15"/>
      <c r="K5" s="15"/>
      <c r="L5" s="15"/>
      <c r="M5" s="15"/>
      <c r="N5" s="15"/>
      <c r="O5" s="15"/>
      <c r="P5" s="15"/>
      <c r="Q5" s="15"/>
      <c r="R5" s="15"/>
      <c r="S5" s="15"/>
      <c r="T5" s="15"/>
      <c r="U5" s="15"/>
      <c r="V5" s="15"/>
      <c r="W5" s="15"/>
      <c r="X5" s="15"/>
      <c r="Y5" s="15"/>
      <c r="Z5" s="15"/>
    </row>
    <row r="6" spans="1:32" ht="15" customHeight="1" x14ac:dyDescent="0.4">
      <c r="A6" s="15"/>
      <c r="B6" s="14"/>
      <c r="C6" s="14"/>
      <c r="D6" s="14"/>
      <c r="E6" s="15"/>
      <c r="F6" s="15"/>
      <c r="G6" s="15"/>
      <c r="H6" s="15"/>
      <c r="I6" s="15"/>
      <c r="J6" s="15"/>
      <c r="K6" s="15"/>
      <c r="L6" s="15"/>
      <c r="M6" s="15"/>
      <c r="N6" s="15"/>
      <c r="O6" s="15"/>
      <c r="P6" s="15"/>
      <c r="Q6" s="15"/>
      <c r="R6" s="15"/>
      <c r="S6" s="15"/>
      <c r="T6" s="15"/>
      <c r="U6" s="15"/>
      <c r="V6" s="15"/>
      <c r="W6" s="15"/>
      <c r="X6" s="15"/>
      <c r="Y6" s="15"/>
      <c r="Z6" s="15"/>
    </row>
    <row r="7" spans="1:32" ht="33.75" customHeight="1" x14ac:dyDescent="0.3">
      <c r="A7" s="15"/>
      <c r="B7" s="412" t="s">
        <v>643</v>
      </c>
      <c r="C7" s="412"/>
      <c r="D7" s="412"/>
      <c r="E7" s="412"/>
      <c r="F7" s="412"/>
      <c r="G7" s="412"/>
      <c r="H7" s="412"/>
      <c r="I7" s="412"/>
      <c r="J7" s="412"/>
      <c r="K7" s="412"/>
      <c r="L7" s="412"/>
      <c r="M7" s="412"/>
      <c r="N7" s="412"/>
      <c r="O7" s="412"/>
      <c r="P7" s="412"/>
      <c r="Q7" s="412"/>
      <c r="R7" s="412"/>
      <c r="S7" s="412"/>
      <c r="T7" s="412"/>
      <c r="U7" s="412"/>
      <c r="V7" s="412"/>
      <c r="W7" s="412"/>
      <c r="X7" s="412"/>
      <c r="Y7" s="412"/>
      <c r="Z7" s="15"/>
    </row>
    <row r="8" spans="1:32" ht="39" hidden="1" customHeight="1" x14ac:dyDescent="0.35">
      <c r="A8" s="15"/>
      <c r="B8" s="410" t="s">
        <v>656</v>
      </c>
      <c r="C8" s="410"/>
      <c r="D8" s="410"/>
      <c r="E8" s="410"/>
      <c r="F8" s="410"/>
      <c r="G8" s="410"/>
      <c r="H8" s="410"/>
      <c r="I8" s="410"/>
      <c r="J8" s="410"/>
      <c r="K8" s="410"/>
      <c r="L8" s="410"/>
      <c r="M8" s="410"/>
      <c r="N8" s="410"/>
      <c r="O8" s="410"/>
      <c r="P8" s="410"/>
      <c r="Q8" s="410"/>
      <c r="R8" s="92"/>
      <c r="S8" s="92"/>
      <c r="T8" s="92"/>
      <c r="U8" s="92"/>
      <c r="V8" s="92"/>
      <c r="W8" s="92"/>
      <c r="X8" s="92"/>
      <c r="Y8" s="92"/>
      <c r="Z8" s="15"/>
    </row>
    <row r="9" spans="1:32" ht="8.25" customHeight="1" x14ac:dyDescent="0.35">
      <c r="A9" s="15"/>
      <c r="B9" s="92"/>
      <c r="C9" s="92"/>
      <c r="D9" s="92"/>
      <c r="E9" s="92"/>
      <c r="F9" s="92"/>
      <c r="G9" s="92"/>
      <c r="H9" s="92"/>
      <c r="I9" s="92"/>
      <c r="J9" s="92"/>
      <c r="K9" s="92"/>
      <c r="L9" s="92"/>
      <c r="M9" s="92"/>
      <c r="N9" s="92"/>
      <c r="O9" s="92"/>
      <c r="P9" s="92"/>
      <c r="Q9" s="92"/>
      <c r="R9" s="92"/>
      <c r="S9" s="92"/>
      <c r="T9" s="92"/>
      <c r="U9" s="92"/>
      <c r="V9" s="92"/>
      <c r="W9" s="92"/>
      <c r="X9" s="92"/>
      <c r="Y9" s="92"/>
      <c r="Z9" s="15"/>
    </row>
    <row r="10" spans="1:32" ht="183" customHeight="1" x14ac:dyDescent="0.35">
      <c r="A10" s="15"/>
      <c r="B10" s="410" t="s">
        <v>657</v>
      </c>
      <c r="C10" s="410"/>
      <c r="D10" s="410"/>
      <c r="E10" s="410"/>
      <c r="F10" s="410"/>
      <c r="G10" s="410"/>
      <c r="H10" s="410"/>
      <c r="I10" s="410"/>
      <c r="J10" s="410"/>
      <c r="K10" s="410"/>
      <c r="L10" s="410"/>
      <c r="M10" s="410"/>
      <c r="N10" s="410"/>
      <c r="O10" s="410"/>
      <c r="P10" s="410"/>
      <c r="Q10" s="410"/>
      <c r="R10" s="92"/>
      <c r="S10" s="92"/>
      <c r="T10" s="92"/>
      <c r="U10" s="92"/>
      <c r="V10" s="92"/>
      <c r="W10" s="92"/>
      <c r="X10" s="92"/>
      <c r="Y10" s="92"/>
      <c r="Z10" s="15"/>
    </row>
    <row r="11" spans="1:32" ht="8.25" customHeight="1" x14ac:dyDescent="0.35">
      <c r="A11" s="15"/>
      <c r="B11" s="92"/>
      <c r="C11" s="92"/>
      <c r="D11" s="92"/>
      <c r="E11" s="92"/>
      <c r="F11" s="92"/>
      <c r="G11" s="92"/>
      <c r="H11" s="92"/>
      <c r="I11" s="92"/>
      <c r="J11" s="92"/>
      <c r="K11" s="92"/>
      <c r="L11" s="92"/>
      <c r="M11" s="92"/>
      <c r="N11" s="92"/>
      <c r="O11" s="92"/>
      <c r="P11" s="92"/>
      <c r="Q11" s="92"/>
      <c r="R11" s="92"/>
      <c r="S11" s="92"/>
      <c r="T11" s="92"/>
      <c r="U11" s="92"/>
      <c r="V11" s="92"/>
      <c r="W11" s="92"/>
      <c r="X11" s="92"/>
      <c r="Y11" s="92"/>
      <c r="Z11" s="15"/>
    </row>
    <row r="12" spans="1:32" ht="39" customHeight="1" x14ac:dyDescent="0.35">
      <c r="A12" s="15"/>
      <c r="B12" s="410" t="s">
        <v>136</v>
      </c>
      <c r="C12" s="410"/>
      <c r="D12" s="410"/>
      <c r="E12" s="410"/>
      <c r="F12" s="410"/>
      <c r="G12" s="410"/>
      <c r="H12" s="410"/>
      <c r="I12" s="410"/>
      <c r="J12" s="410"/>
      <c r="K12" s="410"/>
      <c r="L12" s="410"/>
      <c r="M12" s="410"/>
      <c r="N12" s="410"/>
      <c r="O12" s="410"/>
      <c r="P12" s="410"/>
      <c r="Q12" s="410"/>
      <c r="R12" s="92"/>
      <c r="S12" s="92"/>
      <c r="T12" s="92"/>
      <c r="U12" s="92"/>
      <c r="V12" s="92"/>
      <c r="W12" s="92"/>
      <c r="X12" s="92"/>
      <c r="Y12" s="92"/>
      <c r="Z12" s="15"/>
    </row>
    <row r="13" spans="1:32" ht="8.25" customHeight="1" x14ac:dyDescent="0.35">
      <c r="A13" s="15"/>
      <c r="B13" s="92"/>
      <c r="C13" s="92"/>
      <c r="D13" s="92"/>
      <c r="E13" s="92"/>
      <c r="F13" s="92"/>
      <c r="G13" s="92"/>
      <c r="H13" s="92"/>
      <c r="I13" s="92"/>
      <c r="J13" s="92"/>
      <c r="K13" s="92"/>
      <c r="L13" s="92"/>
      <c r="M13" s="92"/>
      <c r="N13" s="92"/>
      <c r="O13" s="92"/>
      <c r="P13" s="92"/>
      <c r="Q13" s="92"/>
      <c r="R13" s="92"/>
      <c r="S13" s="92"/>
      <c r="T13" s="92"/>
      <c r="U13" s="92"/>
      <c r="V13" s="92"/>
      <c r="W13" s="92"/>
      <c r="X13" s="92"/>
      <c r="Y13" s="92"/>
      <c r="Z13" s="15"/>
    </row>
    <row r="14" spans="1:32" ht="38.25" customHeight="1" x14ac:dyDescent="0.35">
      <c r="A14" s="15"/>
      <c r="B14" s="410" t="s">
        <v>664</v>
      </c>
      <c r="C14" s="410"/>
      <c r="D14" s="410"/>
      <c r="E14" s="410"/>
      <c r="F14" s="410"/>
      <c r="G14" s="410"/>
      <c r="H14" s="410"/>
      <c r="I14" s="410"/>
      <c r="J14" s="410"/>
      <c r="K14" s="410"/>
      <c r="L14" s="410"/>
      <c r="M14" s="410"/>
      <c r="N14" s="410"/>
      <c r="O14" s="410"/>
      <c r="P14" s="410"/>
      <c r="Q14" s="410"/>
      <c r="R14" s="92"/>
      <c r="S14" s="92"/>
      <c r="T14" s="92"/>
      <c r="U14" s="92"/>
      <c r="V14" s="92"/>
      <c r="W14" s="92"/>
      <c r="X14" s="92"/>
      <c r="Y14" s="92"/>
      <c r="Z14" s="15"/>
    </row>
    <row r="15" spans="1:32" ht="8.25" customHeight="1" x14ac:dyDescent="0.35">
      <c r="A15" s="15"/>
      <c r="B15" s="92"/>
      <c r="C15" s="92"/>
      <c r="D15" s="92"/>
      <c r="E15" s="92"/>
      <c r="F15" s="92"/>
      <c r="G15" s="92"/>
      <c r="H15" s="92"/>
      <c r="I15" s="92"/>
      <c r="J15" s="92"/>
      <c r="K15" s="92"/>
      <c r="L15" s="92"/>
      <c r="M15" s="92"/>
      <c r="N15" s="92"/>
      <c r="O15" s="92"/>
      <c r="P15" s="92"/>
      <c r="Q15" s="92"/>
      <c r="R15" s="92"/>
      <c r="S15" s="92"/>
      <c r="T15" s="92"/>
      <c r="U15" s="92"/>
      <c r="V15" s="92"/>
      <c r="W15" s="92"/>
      <c r="X15" s="92"/>
      <c r="Y15" s="92"/>
      <c r="Z15" s="15"/>
    </row>
    <row r="16" spans="1:32" ht="7.5" customHeight="1" x14ac:dyDescent="0.35">
      <c r="A16" s="15"/>
      <c r="B16" s="92"/>
      <c r="C16" s="92"/>
      <c r="D16" s="92"/>
      <c r="E16" s="92"/>
      <c r="F16" s="92"/>
      <c r="G16" s="92"/>
      <c r="H16" s="92"/>
      <c r="I16" s="92"/>
      <c r="J16" s="92"/>
      <c r="K16" s="92"/>
      <c r="L16" s="92"/>
      <c r="M16" s="92"/>
      <c r="N16" s="92"/>
      <c r="O16" s="92"/>
      <c r="P16" s="92"/>
      <c r="Q16" s="92"/>
      <c r="R16" s="92"/>
      <c r="S16" s="92"/>
      <c r="T16" s="92"/>
      <c r="U16" s="92"/>
      <c r="V16" s="92"/>
      <c r="W16" s="92"/>
      <c r="X16" s="92"/>
      <c r="Y16" s="92"/>
      <c r="Z16" s="58"/>
      <c r="AA16" s="58"/>
      <c r="AB16" s="58"/>
      <c r="AC16" s="58"/>
      <c r="AD16" s="58"/>
      <c r="AE16" s="58"/>
      <c r="AF16" s="58"/>
    </row>
    <row r="17" spans="1:32" ht="41.25" customHeight="1" x14ac:dyDescent="0.35">
      <c r="A17" s="15"/>
      <c r="B17" s="410" t="s">
        <v>137</v>
      </c>
      <c r="C17" s="410"/>
      <c r="D17" s="410"/>
      <c r="E17" s="410"/>
      <c r="F17" s="410"/>
      <c r="G17" s="410"/>
      <c r="H17" s="410"/>
      <c r="I17" s="410"/>
      <c r="J17" s="410"/>
      <c r="K17" s="410"/>
      <c r="L17" s="410"/>
      <c r="M17" s="410"/>
      <c r="N17" s="410"/>
      <c r="O17" s="410"/>
      <c r="P17" s="410"/>
      <c r="Q17" s="410"/>
      <c r="R17" s="92"/>
      <c r="S17" s="92"/>
      <c r="T17" s="92"/>
      <c r="U17" s="92"/>
      <c r="V17" s="92"/>
      <c r="W17" s="92"/>
      <c r="X17" s="92"/>
      <c r="Y17" s="92"/>
      <c r="Z17" s="58"/>
      <c r="AA17" s="58"/>
      <c r="AB17" s="58"/>
      <c r="AC17" s="58"/>
      <c r="AD17" s="58"/>
      <c r="AE17" s="58"/>
      <c r="AF17" s="58"/>
    </row>
    <row r="18" spans="1:32" ht="7.5" customHeight="1" x14ac:dyDescent="0.35">
      <c r="A18" s="15"/>
      <c r="B18" s="92"/>
      <c r="C18" s="92"/>
      <c r="D18" s="92"/>
      <c r="E18" s="92"/>
      <c r="F18" s="92"/>
      <c r="G18" s="92"/>
      <c r="H18" s="92"/>
      <c r="I18" s="92"/>
      <c r="J18" s="92"/>
      <c r="K18" s="92"/>
      <c r="L18" s="92"/>
      <c r="M18" s="92"/>
      <c r="N18" s="92"/>
      <c r="O18" s="92"/>
      <c r="P18" s="92"/>
      <c r="Q18" s="92"/>
      <c r="R18" s="92"/>
      <c r="S18" s="92"/>
      <c r="T18" s="92"/>
      <c r="U18" s="92"/>
      <c r="V18" s="92"/>
      <c r="W18" s="92"/>
      <c r="X18" s="92"/>
      <c r="Y18" s="92"/>
      <c r="Z18" s="58"/>
      <c r="AA18" s="58"/>
      <c r="AB18" s="58"/>
      <c r="AC18" s="58"/>
      <c r="AD18" s="58"/>
      <c r="AE18" s="58"/>
      <c r="AF18" s="58"/>
    </row>
    <row r="19" spans="1:32" ht="37.5" customHeight="1" x14ac:dyDescent="0.35">
      <c r="A19" s="15"/>
      <c r="B19" s="410" t="s">
        <v>116</v>
      </c>
      <c r="C19" s="410"/>
      <c r="D19" s="410"/>
      <c r="E19" s="410"/>
      <c r="F19" s="410"/>
      <c r="G19" s="410"/>
      <c r="H19" s="410"/>
      <c r="I19" s="410"/>
      <c r="J19" s="410"/>
      <c r="K19" s="410"/>
      <c r="L19" s="410"/>
      <c r="M19" s="410"/>
      <c r="N19" s="410"/>
      <c r="O19" s="410"/>
      <c r="P19" s="410"/>
      <c r="Q19" s="410"/>
      <c r="R19" s="92"/>
      <c r="S19" s="92"/>
      <c r="T19" s="92"/>
      <c r="U19" s="92"/>
      <c r="V19" s="92"/>
      <c r="W19" s="92"/>
      <c r="X19" s="92"/>
      <c r="Y19" s="92"/>
      <c r="Z19" s="58"/>
      <c r="AA19" s="58"/>
      <c r="AB19" s="58"/>
      <c r="AC19" s="58"/>
      <c r="AD19" s="58"/>
      <c r="AE19" s="58"/>
      <c r="AF19" s="58"/>
    </row>
    <row r="20" spans="1:32" ht="17.25" customHeight="1" x14ac:dyDescent="0.35">
      <c r="A20" s="15"/>
      <c r="B20" s="227"/>
      <c r="C20" s="227"/>
      <c r="D20" s="227"/>
      <c r="E20" s="227"/>
      <c r="F20" s="227"/>
      <c r="G20" s="227"/>
      <c r="H20" s="227"/>
      <c r="I20" s="227"/>
      <c r="J20" s="227"/>
      <c r="K20" s="227"/>
      <c r="L20" s="227"/>
      <c r="M20" s="227"/>
      <c r="N20" s="227"/>
      <c r="O20" s="227"/>
      <c r="P20" s="92"/>
      <c r="Q20" s="92"/>
      <c r="R20" s="92"/>
      <c r="S20" s="92"/>
      <c r="T20" s="92"/>
      <c r="U20" s="92"/>
      <c r="V20" s="92"/>
      <c r="W20" s="92"/>
      <c r="X20" s="92"/>
      <c r="Y20" s="92"/>
      <c r="Z20" s="58"/>
      <c r="AA20" s="58"/>
      <c r="AB20" s="58"/>
      <c r="AC20" s="58"/>
      <c r="AD20" s="58"/>
      <c r="AE20" s="58"/>
      <c r="AF20" s="58"/>
    </row>
    <row r="21" spans="1:32" ht="17.25" customHeight="1" x14ac:dyDescent="0.35">
      <c r="A21" s="15"/>
      <c r="B21" s="228"/>
      <c r="C21" s="228"/>
      <c r="D21" s="228"/>
      <c r="E21" s="228"/>
      <c r="F21" s="228"/>
      <c r="G21" s="228"/>
      <c r="H21" s="228"/>
      <c r="I21" s="228"/>
      <c r="J21" s="228"/>
      <c r="K21" s="228"/>
      <c r="L21" s="228"/>
      <c r="M21" s="228"/>
      <c r="N21" s="228"/>
      <c r="O21" s="228"/>
      <c r="P21" s="92"/>
      <c r="Q21" s="92"/>
      <c r="R21" s="92"/>
      <c r="S21" s="92"/>
      <c r="T21" s="92"/>
      <c r="U21" s="92"/>
      <c r="V21" s="92"/>
      <c r="W21" s="92"/>
      <c r="X21" s="92"/>
      <c r="Y21" s="92"/>
      <c r="Z21" s="58"/>
      <c r="AA21" s="58"/>
      <c r="AB21" s="58"/>
      <c r="AC21" s="58"/>
      <c r="AD21" s="58"/>
      <c r="AE21" s="58"/>
      <c r="AF21" s="58"/>
    </row>
    <row r="22" spans="1:32" ht="17.25" customHeight="1" x14ac:dyDescent="0.35">
      <c r="A22" s="15"/>
      <c r="B22" s="66"/>
      <c r="C22" s="66"/>
      <c r="D22" s="66"/>
      <c r="E22" s="225"/>
      <c r="F22" s="225"/>
      <c r="G22" s="225"/>
      <c r="H22" s="225"/>
      <c r="I22" s="225"/>
      <c r="J22" s="225"/>
      <c r="K22" s="225"/>
      <c r="L22" s="225"/>
      <c r="M22" s="225"/>
      <c r="N22" s="225"/>
      <c r="O22" s="225"/>
      <c r="P22" s="225"/>
      <c r="Q22" s="225"/>
      <c r="R22" s="92"/>
      <c r="S22" s="92"/>
      <c r="T22" s="92"/>
      <c r="U22" s="92"/>
      <c r="V22" s="92"/>
      <c r="W22" s="92"/>
      <c r="X22" s="92"/>
      <c r="Y22" s="92"/>
      <c r="Z22" s="58"/>
      <c r="AA22" s="58"/>
      <c r="AB22" s="58"/>
      <c r="AC22" s="58"/>
      <c r="AD22" s="58"/>
      <c r="AE22" s="58"/>
      <c r="AF22" s="58"/>
    </row>
    <row r="23" spans="1:32" s="67" customFormat="1" ht="21" customHeight="1" x14ac:dyDescent="0.35">
      <c r="A23" s="65"/>
      <c r="B23" s="411" t="s">
        <v>663</v>
      </c>
      <c r="C23" s="411"/>
      <c r="D23" s="411"/>
      <c r="E23" s="411"/>
      <c r="F23" s="411"/>
      <c r="G23" s="411"/>
      <c r="H23" s="411"/>
      <c r="I23" s="411"/>
      <c r="J23" s="411"/>
      <c r="K23" s="411"/>
      <c r="L23" s="411"/>
      <c r="M23" s="411"/>
      <c r="N23" s="411"/>
      <c r="O23" s="411"/>
      <c r="P23" s="411"/>
      <c r="Q23" s="411"/>
      <c r="R23" s="411"/>
      <c r="S23" s="411"/>
      <c r="T23" s="411"/>
      <c r="U23" s="411"/>
      <c r="V23" s="411"/>
      <c r="W23" s="92"/>
      <c r="X23" s="92"/>
      <c r="Y23" s="92"/>
      <c r="Z23" s="65"/>
    </row>
    <row r="24" spans="1:32" ht="17.25" customHeight="1" x14ac:dyDescent="0.35">
      <c r="A24" s="15"/>
      <c r="B24" s="68"/>
      <c r="C24" s="68"/>
      <c r="D24" s="68"/>
      <c r="E24" s="226"/>
      <c r="F24" s="226"/>
      <c r="G24" s="226"/>
      <c r="H24" s="226"/>
      <c r="I24" s="226"/>
      <c r="J24" s="226"/>
      <c r="K24" s="226"/>
      <c r="L24" s="226"/>
      <c r="M24" s="226"/>
      <c r="N24" s="226"/>
      <c r="O24" s="226"/>
      <c r="P24" s="226"/>
      <c r="Q24" s="226"/>
      <c r="R24" s="92"/>
      <c r="S24" s="92"/>
      <c r="T24" s="92"/>
      <c r="U24" s="92"/>
      <c r="V24" s="92"/>
      <c r="W24" s="92"/>
      <c r="X24" s="92"/>
      <c r="Y24" s="92"/>
      <c r="Z24" s="15"/>
    </row>
    <row r="25" spans="1:32" ht="17.25" customHeight="1" x14ac:dyDescent="0.35">
      <c r="A25" s="15"/>
      <c r="B25" s="92"/>
      <c r="C25" s="92"/>
      <c r="D25" s="92"/>
      <c r="E25" s="92"/>
      <c r="F25" s="92"/>
      <c r="G25" s="92"/>
      <c r="H25" s="92"/>
      <c r="I25" s="92"/>
      <c r="J25" s="92"/>
      <c r="K25" s="92"/>
      <c r="L25" s="92"/>
      <c r="M25" s="92"/>
      <c r="N25" s="92"/>
      <c r="O25" s="92"/>
      <c r="P25" s="92"/>
      <c r="Q25" s="92"/>
      <c r="R25" s="92"/>
      <c r="S25" s="92"/>
      <c r="T25" s="92"/>
      <c r="U25" s="92"/>
      <c r="V25" s="92"/>
      <c r="W25" s="92"/>
      <c r="X25" s="92"/>
      <c r="Y25" s="92"/>
      <c r="Z25" s="15"/>
    </row>
    <row r="26" spans="1:32" ht="17.25" customHeight="1" x14ac:dyDescent="0.35">
      <c r="A26" s="15"/>
      <c r="B26" s="92"/>
      <c r="C26" s="92"/>
      <c r="D26" s="92"/>
      <c r="E26" s="92"/>
      <c r="F26" s="92"/>
      <c r="G26" s="92"/>
      <c r="H26" s="92"/>
      <c r="I26" s="92"/>
      <c r="J26" s="92"/>
      <c r="K26" s="92"/>
      <c r="L26" s="92"/>
      <c r="M26" s="92"/>
      <c r="N26" s="92"/>
      <c r="O26" s="92"/>
      <c r="P26" s="92"/>
      <c r="Q26" s="92"/>
      <c r="R26" s="92"/>
      <c r="S26" s="92"/>
      <c r="T26" s="92"/>
      <c r="U26" s="92"/>
      <c r="V26" s="92"/>
      <c r="W26" s="92"/>
      <c r="X26" s="92"/>
      <c r="Y26" s="92"/>
      <c r="Z26" s="15"/>
    </row>
    <row r="27" spans="1:32" ht="17.25" customHeight="1" x14ac:dyDescent="0.35">
      <c r="A27" s="15"/>
      <c r="B27" s="92"/>
      <c r="C27" s="92"/>
      <c r="D27" s="92"/>
      <c r="E27" s="92"/>
      <c r="F27" s="92"/>
      <c r="G27" s="92"/>
      <c r="H27" s="92"/>
      <c r="I27" s="92"/>
      <c r="J27" s="92"/>
      <c r="K27" s="92"/>
      <c r="L27" s="92"/>
      <c r="M27" s="92"/>
      <c r="N27" s="92"/>
      <c r="O27" s="92"/>
      <c r="P27" s="92"/>
      <c r="Q27" s="92"/>
      <c r="R27" s="92"/>
      <c r="S27" s="92"/>
      <c r="T27" s="92"/>
      <c r="U27" s="92"/>
      <c r="V27" s="92"/>
      <c r="W27" s="92"/>
      <c r="X27" s="92"/>
      <c r="Y27" s="92"/>
      <c r="Z27" s="15"/>
    </row>
    <row r="28" spans="1:32" ht="17.25" customHeight="1" x14ac:dyDescent="0.35">
      <c r="A28" s="15"/>
      <c r="B28" s="92"/>
      <c r="C28" s="92"/>
      <c r="D28" s="92"/>
      <c r="E28" s="92"/>
      <c r="F28" s="92"/>
      <c r="G28" s="92"/>
      <c r="H28" s="92"/>
      <c r="I28" s="92"/>
      <c r="J28" s="92"/>
      <c r="K28" s="92"/>
      <c r="L28" s="92"/>
      <c r="M28" s="92"/>
      <c r="N28" s="92"/>
      <c r="O28" s="92"/>
      <c r="P28" s="92"/>
      <c r="Q28" s="92"/>
      <c r="R28" s="92"/>
      <c r="S28" s="92"/>
      <c r="T28" s="92"/>
      <c r="U28" s="92"/>
      <c r="V28" s="92"/>
      <c r="W28" s="92"/>
      <c r="X28" s="92"/>
      <c r="Y28" s="92"/>
      <c r="Z28" s="15"/>
    </row>
    <row r="29" spans="1:32" ht="17.25" customHeight="1" x14ac:dyDescent="0.35">
      <c r="A29" s="15"/>
      <c r="B29" s="92"/>
      <c r="C29" s="92"/>
      <c r="D29" s="92"/>
      <c r="E29" s="92"/>
      <c r="F29" s="92"/>
      <c r="G29" s="92"/>
      <c r="H29" s="92"/>
      <c r="I29" s="92"/>
      <c r="J29" s="92"/>
      <c r="K29" s="92"/>
      <c r="L29" s="92"/>
      <c r="M29" s="92"/>
      <c r="N29" s="92"/>
      <c r="O29" s="92"/>
      <c r="P29" s="92"/>
      <c r="Q29" s="92"/>
      <c r="R29" s="92"/>
      <c r="S29" s="92"/>
      <c r="T29" s="92"/>
      <c r="U29" s="92"/>
      <c r="V29" s="92"/>
      <c r="W29" s="92"/>
      <c r="X29" s="92"/>
      <c r="Y29" s="92"/>
      <c r="Z29" s="15"/>
    </row>
    <row r="30" spans="1:32" ht="17.25" customHeight="1" x14ac:dyDescent="0.35">
      <c r="A30" s="15"/>
      <c r="B30" s="92"/>
      <c r="C30" s="92"/>
      <c r="D30" s="92"/>
      <c r="E30" s="92"/>
      <c r="F30" s="92"/>
      <c r="G30" s="92"/>
      <c r="H30" s="92"/>
      <c r="I30" s="92"/>
      <c r="J30" s="92"/>
      <c r="K30" s="92"/>
      <c r="L30" s="92"/>
      <c r="M30" s="92"/>
      <c r="N30" s="92"/>
      <c r="O30" s="92"/>
      <c r="P30" s="92"/>
      <c r="Q30" s="92"/>
      <c r="R30" s="92"/>
      <c r="S30" s="92"/>
      <c r="T30" s="92"/>
      <c r="U30" s="92"/>
      <c r="V30" s="92"/>
      <c r="W30" s="92"/>
      <c r="X30" s="92"/>
      <c r="Y30" s="92"/>
      <c r="Z30" s="15"/>
    </row>
    <row r="31" spans="1:32" ht="17.25" customHeight="1" x14ac:dyDescent="0.35">
      <c r="A31" s="15"/>
      <c r="B31" s="92"/>
      <c r="C31" s="92"/>
      <c r="D31" s="92"/>
      <c r="E31" s="92"/>
      <c r="F31" s="92"/>
      <c r="G31" s="92"/>
      <c r="H31" s="92"/>
      <c r="I31" s="92"/>
      <c r="J31" s="92"/>
      <c r="K31" s="92"/>
      <c r="L31" s="92"/>
      <c r="M31" s="92"/>
      <c r="N31" s="92"/>
      <c r="O31" s="92"/>
      <c r="P31" s="92"/>
      <c r="Q31" s="92"/>
      <c r="R31" s="92"/>
      <c r="S31" s="92"/>
      <c r="T31" s="92"/>
      <c r="U31" s="92"/>
      <c r="V31" s="92"/>
      <c r="W31" s="92"/>
      <c r="X31" s="92"/>
      <c r="Y31" s="92"/>
      <c r="Z31" s="15"/>
    </row>
    <row r="32" spans="1:32" ht="17.25" customHeight="1" x14ac:dyDescent="0.35">
      <c r="A32" s="15"/>
      <c r="B32" s="92"/>
      <c r="C32" s="92"/>
      <c r="D32" s="92"/>
      <c r="E32" s="92"/>
      <c r="F32" s="92"/>
      <c r="G32" s="92"/>
      <c r="H32" s="92"/>
      <c r="I32" s="92"/>
      <c r="J32" s="92"/>
      <c r="K32" s="92"/>
      <c r="L32" s="92"/>
      <c r="M32" s="92"/>
      <c r="N32" s="92"/>
      <c r="O32" s="92"/>
      <c r="P32" s="92"/>
      <c r="Q32" s="92"/>
      <c r="R32" s="92"/>
      <c r="S32" s="92"/>
      <c r="T32" s="92"/>
      <c r="U32" s="92"/>
      <c r="V32" s="92"/>
      <c r="W32" s="92"/>
      <c r="X32" s="92"/>
      <c r="Y32" s="92"/>
      <c r="Z32" s="15"/>
    </row>
    <row r="33" spans="1:26" ht="17.25" customHeight="1" x14ac:dyDescent="0.35">
      <c r="A33" s="15"/>
      <c r="B33" s="92"/>
      <c r="C33" s="92"/>
      <c r="D33" s="92"/>
      <c r="E33" s="92"/>
      <c r="F33" s="92"/>
      <c r="G33" s="92"/>
      <c r="H33" s="92"/>
      <c r="I33" s="92"/>
      <c r="J33" s="92"/>
      <c r="K33" s="92"/>
      <c r="L33" s="92"/>
      <c r="M33" s="92"/>
      <c r="N33" s="92"/>
      <c r="O33" s="92"/>
      <c r="P33" s="92"/>
      <c r="Q33" s="92"/>
      <c r="R33" s="92"/>
      <c r="S33" s="92"/>
      <c r="T33" s="92"/>
      <c r="U33" s="92"/>
      <c r="V33" s="92"/>
      <c r="W33" s="92"/>
      <c r="X33" s="92"/>
      <c r="Y33" s="92"/>
      <c r="Z33" s="15"/>
    </row>
    <row r="34" spans="1:26" ht="17.25" customHeight="1" x14ac:dyDescent="0.35">
      <c r="A34" s="15"/>
      <c r="B34" s="92"/>
      <c r="C34" s="92"/>
      <c r="D34" s="92"/>
      <c r="E34" s="92"/>
      <c r="F34" s="92"/>
      <c r="G34" s="92"/>
      <c r="H34" s="92"/>
      <c r="I34" s="92"/>
      <c r="J34" s="92"/>
      <c r="K34" s="92"/>
      <c r="L34" s="92"/>
      <c r="M34" s="92"/>
      <c r="N34" s="92"/>
      <c r="O34" s="92"/>
      <c r="P34" s="92"/>
      <c r="Q34" s="92"/>
      <c r="R34" s="92"/>
      <c r="S34" s="92"/>
      <c r="T34" s="92"/>
      <c r="U34" s="92"/>
      <c r="V34" s="92"/>
      <c r="W34" s="92"/>
      <c r="X34" s="92"/>
      <c r="Y34" s="92"/>
      <c r="Z34" s="15"/>
    </row>
    <row r="35" spans="1:26" s="70" customFormat="1" ht="17.25" customHeight="1" x14ac:dyDescent="0.35">
      <c r="A35" s="69"/>
      <c r="B35" s="92"/>
      <c r="C35" s="92"/>
      <c r="D35" s="92"/>
      <c r="E35" s="92"/>
      <c r="F35" s="92"/>
      <c r="G35" s="92"/>
      <c r="H35" s="92"/>
      <c r="I35" s="92"/>
      <c r="J35" s="92"/>
      <c r="K35" s="92"/>
      <c r="L35" s="92"/>
      <c r="M35" s="92"/>
      <c r="N35" s="92"/>
      <c r="O35" s="92"/>
      <c r="P35" s="92"/>
      <c r="Q35" s="92"/>
      <c r="R35" s="92"/>
      <c r="S35" s="92"/>
      <c r="T35" s="92"/>
      <c r="U35" s="92"/>
      <c r="V35" s="92"/>
      <c r="W35" s="92"/>
      <c r="X35" s="92"/>
      <c r="Y35" s="92"/>
      <c r="Z35" s="69"/>
    </row>
    <row r="36" spans="1:26" s="70" customFormat="1" ht="17.25" customHeight="1" x14ac:dyDescent="0.35">
      <c r="A36" s="69"/>
      <c r="B36" s="92"/>
      <c r="C36" s="92"/>
      <c r="D36" s="92"/>
      <c r="E36" s="92"/>
      <c r="F36" s="92"/>
      <c r="G36" s="92"/>
      <c r="H36" s="92"/>
      <c r="I36" s="92"/>
      <c r="J36" s="92"/>
      <c r="K36" s="92"/>
      <c r="L36" s="92"/>
      <c r="M36" s="92"/>
      <c r="N36" s="92"/>
      <c r="O36" s="92"/>
      <c r="P36" s="92"/>
      <c r="Q36" s="92"/>
      <c r="R36" s="92"/>
      <c r="S36" s="92"/>
      <c r="T36" s="92"/>
      <c r="U36" s="92"/>
      <c r="V36" s="92"/>
      <c r="W36" s="92"/>
      <c r="X36" s="92"/>
      <c r="Y36" s="92"/>
      <c r="Z36" s="69"/>
    </row>
    <row r="37" spans="1:26" s="70" customFormat="1" ht="17.25" customHeight="1" x14ac:dyDescent="0.35">
      <c r="A37" s="69"/>
      <c r="B37" s="92"/>
      <c r="C37" s="92"/>
      <c r="D37" s="92"/>
      <c r="E37" s="92"/>
      <c r="F37" s="92"/>
      <c r="G37" s="92"/>
      <c r="H37" s="92"/>
      <c r="I37" s="92"/>
      <c r="J37" s="92"/>
      <c r="K37" s="92"/>
      <c r="L37" s="92"/>
      <c r="M37" s="92"/>
      <c r="N37" s="92"/>
      <c r="O37" s="92"/>
      <c r="P37" s="92"/>
      <c r="Q37" s="92"/>
      <c r="R37" s="92"/>
      <c r="S37" s="92"/>
      <c r="T37" s="92"/>
      <c r="U37" s="92"/>
      <c r="V37" s="92"/>
      <c r="W37" s="92"/>
      <c r="X37" s="92"/>
      <c r="Y37" s="92"/>
      <c r="Z37" s="69"/>
    </row>
    <row r="38" spans="1:26" s="70" customFormat="1" ht="17.25" customHeight="1" x14ac:dyDescent="0.35">
      <c r="A38" s="69"/>
      <c r="B38" s="92"/>
      <c r="C38" s="92"/>
      <c r="D38" s="92"/>
      <c r="E38" s="92"/>
      <c r="F38" s="92"/>
      <c r="G38" s="92"/>
      <c r="H38" s="92"/>
      <c r="I38" s="92"/>
      <c r="J38" s="92"/>
      <c r="K38" s="92"/>
      <c r="L38" s="92"/>
      <c r="M38" s="92"/>
      <c r="N38" s="92"/>
      <c r="O38" s="92"/>
      <c r="P38" s="92"/>
      <c r="Q38" s="92"/>
      <c r="R38" s="92"/>
      <c r="S38" s="92"/>
      <c r="T38" s="92"/>
      <c r="U38" s="92"/>
      <c r="V38" s="92"/>
      <c r="W38" s="92"/>
      <c r="X38" s="92"/>
      <c r="Y38" s="92"/>
      <c r="Z38" s="69"/>
    </row>
    <row r="39" spans="1:26" s="70" customFormat="1" ht="6.75" customHeight="1" x14ac:dyDescent="0.35">
      <c r="A39" s="69"/>
      <c r="B39" s="92"/>
      <c r="C39" s="92"/>
      <c r="D39" s="92"/>
      <c r="E39" s="92"/>
      <c r="F39" s="92"/>
      <c r="G39" s="92"/>
      <c r="H39" s="92"/>
      <c r="I39" s="92"/>
      <c r="J39" s="92"/>
      <c r="K39" s="92"/>
      <c r="L39" s="92"/>
      <c r="M39" s="92"/>
      <c r="N39" s="92"/>
      <c r="O39" s="92"/>
      <c r="P39" s="92"/>
      <c r="Q39" s="92"/>
      <c r="R39" s="92"/>
      <c r="S39" s="92"/>
      <c r="T39" s="92"/>
      <c r="U39" s="92"/>
      <c r="V39" s="92"/>
      <c r="W39" s="92"/>
      <c r="X39" s="92"/>
      <c r="Y39" s="92"/>
      <c r="Z39" s="69"/>
    </row>
    <row r="40" spans="1:26" s="70" customFormat="1" ht="15" customHeight="1" x14ac:dyDescent="0.35">
      <c r="A40" s="69"/>
      <c r="B40" s="92"/>
      <c r="C40" s="92"/>
      <c r="D40" s="92"/>
      <c r="E40" s="92"/>
      <c r="F40" s="92"/>
      <c r="G40" s="92"/>
      <c r="H40" s="92"/>
      <c r="I40" s="92"/>
      <c r="J40" s="92"/>
      <c r="K40" s="92"/>
      <c r="L40" s="92"/>
      <c r="M40" s="92"/>
      <c r="N40" s="92"/>
      <c r="O40" s="92"/>
      <c r="P40" s="92"/>
      <c r="Q40" s="92"/>
      <c r="R40" s="92"/>
      <c r="S40" s="92"/>
      <c r="T40" s="92"/>
      <c r="U40" s="92"/>
      <c r="V40" s="92"/>
      <c r="W40" s="92"/>
      <c r="X40" s="92"/>
      <c r="Y40" s="92"/>
      <c r="Z40" s="69"/>
    </row>
    <row r="41" spans="1:26" s="70" customFormat="1" ht="15" customHeight="1" x14ac:dyDescent="0.35">
      <c r="A41" s="69"/>
      <c r="B41" s="92"/>
      <c r="C41" s="92"/>
      <c r="D41" s="92"/>
      <c r="E41" s="92"/>
      <c r="F41" s="92"/>
      <c r="G41" s="92"/>
      <c r="H41" s="92"/>
      <c r="I41" s="92"/>
      <c r="J41" s="92"/>
      <c r="K41" s="92"/>
      <c r="L41" s="92"/>
      <c r="M41" s="92"/>
      <c r="N41" s="92"/>
      <c r="O41" s="92"/>
      <c r="P41" s="92"/>
      <c r="Q41" s="92"/>
      <c r="R41" s="92"/>
      <c r="S41" s="92"/>
      <c r="T41" s="92"/>
      <c r="U41" s="92"/>
      <c r="V41" s="92"/>
      <c r="W41" s="92"/>
      <c r="X41" s="92"/>
      <c r="Y41" s="92"/>
      <c r="Z41" s="69"/>
    </row>
    <row r="42" spans="1:26" s="70" customFormat="1" ht="18" customHeight="1" x14ac:dyDescent="0.35">
      <c r="A42" s="69"/>
      <c r="B42" s="92"/>
      <c r="C42" s="92"/>
      <c r="D42" s="92"/>
      <c r="E42" s="92"/>
      <c r="F42" s="92"/>
      <c r="G42" s="92"/>
      <c r="H42" s="92"/>
      <c r="I42" s="92"/>
      <c r="J42" s="92"/>
      <c r="K42" s="92"/>
      <c r="L42" s="92"/>
      <c r="M42" s="92"/>
      <c r="N42" s="92"/>
      <c r="O42" s="92"/>
      <c r="P42" s="92"/>
      <c r="Q42" s="92"/>
      <c r="R42" s="92"/>
      <c r="S42" s="92"/>
      <c r="T42" s="92"/>
      <c r="U42" s="92"/>
      <c r="V42" s="92"/>
      <c r="W42" s="92"/>
      <c r="X42" s="92"/>
      <c r="Y42" s="92"/>
      <c r="Z42" s="69"/>
    </row>
    <row r="43" spans="1:26" s="70" customFormat="1" ht="12" customHeight="1" x14ac:dyDescent="0.35">
      <c r="A43" s="69"/>
      <c r="B43" s="92"/>
      <c r="C43" s="92"/>
      <c r="D43" s="92"/>
      <c r="E43" s="92"/>
      <c r="F43" s="92"/>
      <c r="G43" s="92"/>
      <c r="H43" s="92"/>
      <c r="I43" s="92"/>
      <c r="J43" s="92"/>
      <c r="K43" s="92"/>
      <c r="L43" s="92"/>
      <c r="M43" s="92"/>
      <c r="N43" s="92"/>
      <c r="O43" s="92"/>
      <c r="P43" s="92"/>
      <c r="Q43" s="92"/>
      <c r="R43" s="92"/>
      <c r="S43" s="92"/>
      <c r="T43" s="92"/>
      <c r="U43" s="92"/>
      <c r="V43" s="92"/>
      <c r="W43" s="92"/>
      <c r="X43" s="92"/>
      <c r="Y43" s="92"/>
      <c r="Z43" s="69"/>
    </row>
    <row r="44" spans="1:26" s="70" customFormat="1" ht="12" customHeight="1" x14ac:dyDescent="0.35">
      <c r="A44" s="69"/>
      <c r="B44" s="92"/>
      <c r="C44" s="92"/>
      <c r="D44" s="92"/>
      <c r="E44" s="92"/>
      <c r="F44" s="92"/>
      <c r="G44" s="92"/>
      <c r="H44" s="92"/>
      <c r="I44" s="92"/>
      <c r="J44" s="92"/>
      <c r="K44" s="92"/>
      <c r="L44" s="92"/>
      <c r="M44" s="92"/>
      <c r="N44" s="92"/>
      <c r="O44" s="92"/>
      <c r="P44" s="92"/>
      <c r="Q44" s="92"/>
      <c r="R44" s="92"/>
      <c r="S44" s="92"/>
      <c r="T44" s="92"/>
      <c r="U44" s="92"/>
      <c r="V44" s="92"/>
      <c r="W44" s="92"/>
      <c r="X44" s="92"/>
      <c r="Y44" s="92"/>
      <c r="Z44" s="69"/>
    </row>
    <row r="45" spans="1:26" s="70" customFormat="1" ht="12" customHeight="1" x14ac:dyDescent="0.35">
      <c r="A45" s="69"/>
      <c r="B45" s="92"/>
      <c r="C45" s="92"/>
      <c r="D45" s="92"/>
      <c r="E45" s="92"/>
      <c r="F45" s="92"/>
      <c r="G45" s="92"/>
      <c r="H45" s="92"/>
      <c r="I45" s="92"/>
      <c r="J45" s="92"/>
      <c r="K45" s="92"/>
      <c r="L45" s="92"/>
      <c r="M45" s="92"/>
      <c r="N45" s="92"/>
      <c r="O45" s="92"/>
      <c r="P45" s="92"/>
      <c r="Q45" s="92"/>
      <c r="R45" s="92"/>
      <c r="S45" s="92"/>
      <c r="T45" s="92"/>
      <c r="U45" s="92"/>
      <c r="V45" s="92"/>
      <c r="W45" s="92"/>
      <c r="X45" s="92"/>
      <c r="Y45" s="92"/>
      <c r="Z45" s="69"/>
    </row>
    <row r="46" spans="1:26" s="70" customFormat="1" ht="12" customHeight="1" x14ac:dyDescent="0.35">
      <c r="A46" s="69"/>
      <c r="B46" s="92"/>
      <c r="C46" s="92"/>
      <c r="D46" s="92"/>
      <c r="E46" s="92"/>
      <c r="F46" s="92"/>
      <c r="G46" s="92"/>
      <c r="H46" s="92"/>
      <c r="I46" s="92"/>
      <c r="J46" s="92"/>
      <c r="K46" s="92"/>
      <c r="L46" s="92"/>
      <c r="M46" s="92"/>
      <c r="N46" s="92"/>
      <c r="O46" s="92"/>
      <c r="P46" s="92"/>
      <c r="Q46" s="92"/>
      <c r="R46" s="92"/>
      <c r="S46" s="92"/>
      <c r="T46" s="92"/>
      <c r="U46" s="92"/>
      <c r="V46" s="92"/>
      <c r="W46" s="92"/>
      <c r="X46" s="92"/>
      <c r="Y46" s="92"/>
      <c r="Z46" s="69"/>
    </row>
    <row r="47" spans="1:26" s="70" customFormat="1" ht="12" customHeight="1" x14ac:dyDescent="0.35">
      <c r="A47" s="69"/>
      <c r="B47" s="92"/>
      <c r="C47" s="92"/>
      <c r="D47" s="92"/>
      <c r="E47" s="92"/>
      <c r="F47" s="92"/>
      <c r="G47" s="92"/>
      <c r="H47" s="92"/>
      <c r="I47" s="92"/>
      <c r="J47" s="92"/>
      <c r="K47" s="92"/>
      <c r="L47" s="92"/>
      <c r="M47" s="92"/>
      <c r="N47" s="92"/>
      <c r="O47" s="92"/>
      <c r="P47" s="92"/>
      <c r="Q47" s="92"/>
      <c r="R47" s="92"/>
      <c r="S47" s="92"/>
      <c r="T47" s="92"/>
      <c r="U47" s="92"/>
      <c r="V47" s="92"/>
      <c r="W47" s="92"/>
      <c r="X47" s="92"/>
      <c r="Y47" s="92"/>
      <c r="Z47" s="69"/>
    </row>
    <row r="48" spans="1:26" s="70" customFormat="1" ht="12" customHeight="1" x14ac:dyDescent="0.35">
      <c r="A48" s="69"/>
      <c r="B48" s="92"/>
      <c r="C48" s="92"/>
      <c r="D48" s="92"/>
      <c r="E48" s="92"/>
      <c r="F48" s="92"/>
      <c r="G48" s="92"/>
      <c r="H48" s="92"/>
      <c r="I48" s="92"/>
      <c r="J48" s="92"/>
      <c r="K48" s="92"/>
      <c r="L48" s="92"/>
      <c r="M48" s="92"/>
      <c r="N48" s="92"/>
      <c r="O48" s="92"/>
      <c r="P48" s="92"/>
      <c r="Q48" s="92"/>
      <c r="R48" s="92"/>
      <c r="S48" s="92"/>
      <c r="T48" s="92"/>
      <c r="U48" s="92"/>
      <c r="V48" s="92"/>
      <c r="W48" s="92"/>
      <c r="X48" s="92"/>
      <c r="Y48" s="92"/>
      <c r="Z48" s="69"/>
    </row>
    <row r="49" spans="1:27" s="70" customFormat="1" ht="12" customHeight="1" x14ac:dyDescent="0.35">
      <c r="A49" s="69"/>
      <c r="B49" s="92"/>
      <c r="C49" s="92"/>
      <c r="D49" s="92"/>
      <c r="E49" s="92"/>
      <c r="F49" s="92"/>
      <c r="G49" s="92"/>
      <c r="H49" s="92"/>
      <c r="I49" s="92"/>
      <c r="J49" s="92"/>
      <c r="K49" s="92"/>
      <c r="L49" s="92"/>
      <c r="M49" s="92"/>
      <c r="N49" s="92"/>
      <c r="O49" s="92"/>
      <c r="P49" s="92"/>
      <c r="Q49" s="92"/>
      <c r="R49" s="92"/>
      <c r="S49" s="92"/>
      <c r="T49" s="92"/>
      <c r="U49" s="92"/>
      <c r="V49" s="92"/>
      <c r="W49" s="92"/>
      <c r="X49" s="92"/>
      <c r="Y49" s="92"/>
      <c r="Z49" s="69"/>
    </row>
    <row r="50" spans="1:27" s="70" customFormat="1" ht="12" customHeight="1" x14ac:dyDescent="0.35">
      <c r="A50" s="69"/>
      <c r="B50" s="92"/>
      <c r="C50" s="92"/>
      <c r="D50" s="92"/>
      <c r="E50" s="92"/>
      <c r="F50" s="92"/>
      <c r="G50" s="92"/>
      <c r="H50" s="92"/>
      <c r="I50" s="92"/>
      <c r="J50" s="92"/>
      <c r="K50" s="92"/>
      <c r="L50" s="92"/>
      <c r="M50" s="92"/>
      <c r="N50" s="92"/>
      <c r="O50" s="92"/>
      <c r="P50" s="92"/>
      <c r="Q50" s="92"/>
      <c r="R50" s="92"/>
      <c r="S50" s="92"/>
      <c r="T50" s="92"/>
      <c r="U50" s="92"/>
      <c r="V50" s="92"/>
      <c r="W50" s="92"/>
      <c r="X50" s="92"/>
      <c r="Y50" s="92"/>
      <c r="Z50" s="69"/>
    </row>
    <row r="51" spans="1:27" s="70" customFormat="1" ht="12" customHeight="1" x14ac:dyDescent="0.35">
      <c r="A51" s="69"/>
      <c r="B51" s="92"/>
      <c r="C51" s="92"/>
      <c r="D51" s="92"/>
      <c r="E51" s="92"/>
      <c r="F51" s="92"/>
      <c r="G51" s="92"/>
      <c r="H51" s="92"/>
      <c r="I51" s="92"/>
      <c r="J51" s="92"/>
      <c r="K51" s="92"/>
      <c r="L51" s="92"/>
      <c r="M51" s="92"/>
      <c r="N51" s="92"/>
      <c r="O51" s="92"/>
      <c r="P51" s="92"/>
      <c r="Q51" s="92"/>
      <c r="R51" s="92"/>
      <c r="S51" s="92"/>
      <c r="T51" s="92"/>
      <c r="U51" s="92"/>
      <c r="V51" s="92"/>
      <c r="W51" s="92"/>
      <c r="X51" s="92"/>
      <c r="Y51" s="92"/>
      <c r="Z51" s="69"/>
    </row>
    <row r="52" spans="1:27" s="70" customFormat="1" ht="12" customHeight="1" x14ac:dyDescent="0.35">
      <c r="A52" s="69"/>
      <c r="B52" s="92"/>
      <c r="C52" s="92"/>
      <c r="D52" s="92"/>
      <c r="E52" s="92"/>
      <c r="F52" s="92"/>
      <c r="G52" s="92"/>
      <c r="H52" s="92"/>
      <c r="I52" s="92"/>
      <c r="J52" s="92"/>
      <c r="K52" s="92"/>
      <c r="L52" s="92"/>
      <c r="M52" s="92"/>
      <c r="N52" s="92"/>
      <c r="O52" s="92"/>
      <c r="P52" s="92"/>
      <c r="Q52" s="92"/>
      <c r="R52" s="92"/>
      <c r="S52" s="92"/>
      <c r="T52" s="92"/>
      <c r="U52" s="92"/>
      <c r="V52" s="92"/>
      <c r="W52" s="92"/>
      <c r="X52" s="92"/>
      <c r="Y52" s="92"/>
      <c r="Z52" s="69"/>
    </row>
    <row r="53" spans="1:27" s="70" customFormat="1" ht="12" customHeight="1" x14ac:dyDescent="0.35">
      <c r="A53" s="69"/>
      <c r="B53" s="92"/>
      <c r="C53" s="92"/>
      <c r="D53" s="92"/>
      <c r="E53" s="92"/>
      <c r="F53" s="92"/>
      <c r="G53" s="92"/>
      <c r="H53" s="92"/>
      <c r="I53" s="92"/>
      <c r="J53" s="92"/>
      <c r="K53" s="92"/>
      <c r="L53" s="92"/>
      <c r="M53" s="92"/>
      <c r="N53" s="92"/>
      <c r="O53" s="92"/>
      <c r="P53" s="92"/>
      <c r="Q53" s="92"/>
      <c r="R53" s="92"/>
      <c r="S53" s="92"/>
      <c r="T53" s="92"/>
      <c r="U53" s="92"/>
      <c r="V53" s="92"/>
      <c r="W53" s="92"/>
      <c r="X53" s="92"/>
      <c r="Y53" s="92"/>
      <c r="Z53" s="69"/>
    </row>
    <row r="54" spans="1:27" s="70" customFormat="1" ht="12" customHeight="1" x14ac:dyDescent="0.35">
      <c r="A54" s="69"/>
      <c r="B54" s="92"/>
      <c r="C54" s="92"/>
      <c r="D54" s="92"/>
      <c r="E54" s="92"/>
      <c r="F54" s="92"/>
      <c r="G54" s="92"/>
      <c r="H54" s="92"/>
      <c r="I54" s="92"/>
      <c r="J54" s="92"/>
      <c r="K54" s="92"/>
      <c r="L54" s="92"/>
      <c r="M54" s="92"/>
      <c r="N54" s="92"/>
      <c r="O54" s="92"/>
      <c r="P54" s="92"/>
      <c r="Q54" s="92"/>
      <c r="R54" s="92"/>
      <c r="S54" s="92"/>
      <c r="T54" s="92"/>
      <c r="U54" s="92"/>
      <c r="V54" s="92"/>
      <c r="W54" s="92"/>
      <c r="X54" s="92"/>
      <c r="Y54" s="92"/>
      <c r="Z54" s="69"/>
    </row>
    <row r="55" spans="1:27" s="70" customFormat="1" ht="12" customHeight="1" x14ac:dyDescent="0.35">
      <c r="A55" s="69"/>
      <c r="B55" s="92"/>
      <c r="C55" s="92"/>
      <c r="D55" s="92"/>
      <c r="E55" s="92"/>
      <c r="F55" s="92"/>
      <c r="G55" s="92"/>
      <c r="H55" s="92"/>
      <c r="I55" s="92"/>
      <c r="J55" s="92"/>
      <c r="K55" s="92"/>
      <c r="L55" s="92"/>
      <c r="M55" s="92"/>
      <c r="N55" s="92"/>
      <c r="O55" s="92"/>
      <c r="P55" s="92"/>
      <c r="Q55" s="92"/>
      <c r="R55" s="92"/>
      <c r="S55" s="92"/>
      <c r="T55" s="92"/>
      <c r="U55" s="92"/>
      <c r="V55" s="92"/>
      <c r="W55" s="92"/>
      <c r="X55" s="92"/>
      <c r="Y55" s="92"/>
      <c r="Z55" s="69"/>
      <c r="AA55" s="64"/>
    </row>
    <row r="56" spans="1:27" s="70" customFormat="1" ht="18" customHeight="1" x14ac:dyDescent="0.35">
      <c r="A56" s="69"/>
      <c r="B56" s="92"/>
      <c r="C56" s="92"/>
      <c r="D56" s="92"/>
      <c r="E56" s="92"/>
      <c r="F56" s="92"/>
      <c r="G56" s="92"/>
      <c r="H56" s="92"/>
      <c r="I56" s="92"/>
      <c r="J56" s="92"/>
      <c r="K56" s="92"/>
      <c r="L56" s="92"/>
      <c r="M56" s="92"/>
      <c r="N56" s="92"/>
      <c r="O56" s="92"/>
      <c r="P56" s="92"/>
      <c r="Q56" s="92"/>
      <c r="R56" s="92"/>
      <c r="S56" s="92"/>
      <c r="T56" s="92"/>
      <c r="U56" s="92"/>
      <c r="V56" s="92"/>
      <c r="W56" s="92"/>
      <c r="X56" s="92"/>
      <c r="Y56" s="92"/>
      <c r="Z56" s="69"/>
      <c r="AA56" s="64"/>
    </row>
    <row r="57" spans="1:27" s="70" customFormat="1" ht="45" customHeight="1" x14ac:dyDescent="0.35">
      <c r="A57" s="69"/>
      <c r="B57" s="92"/>
      <c r="C57" s="92"/>
      <c r="D57" s="92"/>
      <c r="E57" s="92"/>
      <c r="F57" s="92"/>
      <c r="G57" s="92"/>
      <c r="H57" s="92"/>
      <c r="I57" s="92"/>
      <c r="J57" s="92"/>
      <c r="K57" s="92"/>
      <c r="L57" s="92"/>
      <c r="M57" s="92"/>
      <c r="N57" s="92"/>
      <c r="O57" s="92"/>
      <c r="P57" s="92"/>
      <c r="Q57" s="92"/>
      <c r="R57" s="92"/>
      <c r="S57" s="92"/>
      <c r="T57" s="92"/>
      <c r="U57" s="92"/>
      <c r="V57" s="92"/>
      <c r="W57" s="92"/>
      <c r="X57" s="92"/>
      <c r="Y57" s="92"/>
      <c r="Z57" s="69"/>
      <c r="AA57" s="64"/>
    </row>
    <row r="58" spans="1:27" s="70" customFormat="1" ht="6" customHeight="1" x14ac:dyDescent="0.35">
      <c r="A58" s="69"/>
      <c r="B58" s="92"/>
      <c r="C58" s="92"/>
      <c r="D58" s="92"/>
      <c r="E58" s="92"/>
      <c r="F58" s="92"/>
      <c r="G58" s="92"/>
      <c r="H58" s="92"/>
      <c r="I58" s="92"/>
      <c r="J58" s="92"/>
      <c r="K58" s="92"/>
      <c r="L58" s="92"/>
      <c r="M58" s="92"/>
      <c r="N58" s="92"/>
      <c r="O58" s="92"/>
      <c r="P58" s="92"/>
      <c r="Q58" s="92"/>
      <c r="R58" s="92"/>
      <c r="S58" s="92"/>
      <c r="T58" s="92"/>
      <c r="U58" s="92"/>
      <c r="V58" s="92"/>
      <c r="W58" s="92"/>
      <c r="X58" s="92"/>
      <c r="Y58" s="92"/>
      <c r="Z58" s="69"/>
      <c r="AA58" s="64"/>
    </row>
    <row r="59" spans="1:27" s="70" customFormat="1" ht="38.25" customHeight="1" x14ac:dyDescent="0.35">
      <c r="A59" s="69"/>
      <c r="B59" s="92"/>
      <c r="C59" s="92"/>
      <c r="D59" s="92"/>
      <c r="E59" s="92"/>
      <c r="F59" s="92"/>
      <c r="G59" s="92"/>
      <c r="H59" s="92"/>
      <c r="I59" s="92"/>
      <c r="J59" s="92"/>
      <c r="K59" s="92"/>
      <c r="L59" s="92"/>
      <c r="M59" s="92"/>
      <c r="N59" s="92"/>
      <c r="O59" s="92"/>
      <c r="P59" s="92"/>
      <c r="Q59" s="92"/>
      <c r="R59" s="92"/>
      <c r="S59" s="92"/>
      <c r="T59" s="92"/>
      <c r="U59" s="92"/>
      <c r="V59" s="92"/>
      <c r="W59" s="92"/>
      <c r="X59" s="92"/>
      <c r="Y59" s="92"/>
      <c r="Z59" s="69"/>
      <c r="AA59" s="64"/>
    </row>
    <row r="60" spans="1:27" s="70" customFormat="1" ht="6.75" customHeight="1" x14ac:dyDescent="0.35">
      <c r="A60" s="69"/>
      <c r="B60" s="92"/>
      <c r="C60" s="92"/>
      <c r="D60" s="92"/>
      <c r="E60" s="92"/>
      <c r="F60" s="92"/>
      <c r="G60" s="92"/>
      <c r="H60" s="92"/>
      <c r="I60" s="92"/>
      <c r="J60" s="92"/>
      <c r="K60" s="92"/>
      <c r="L60" s="92"/>
      <c r="M60" s="92"/>
      <c r="N60" s="92"/>
      <c r="O60" s="92"/>
      <c r="P60" s="92"/>
      <c r="Q60" s="92"/>
      <c r="R60" s="92"/>
      <c r="S60" s="92"/>
      <c r="T60" s="92"/>
      <c r="U60" s="92"/>
      <c r="V60" s="92"/>
      <c r="W60" s="92"/>
      <c r="X60" s="92"/>
      <c r="Y60" s="92"/>
      <c r="Z60" s="69"/>
      <c r="AA60" s="64"/>
    </row>
    <row r="61" spans="1:27" ht="14.25" customHeight="1" x14ac:dyDescent="0.35">
      <c r="A61" s="15"/>
      <c r="B61" s="53"/>
      <c r="C61" s="9"/>
      <c r="D61" s="92"/>
      <c r="E61" s="9"/>
      <c r="F61" s="9"/>
      <c r="G61" s="9"/>
      <c r="H61" s="9"/>
      <c r="I61" s="9"/>
      <c r="J61" s="9"/>
      <c r="K61" s="9"/>
      <c r="L61" s="9"/>
      <c r="M61" s="9"/>
      <c r="N61" s="9"/>
      <c r="O61" s="9"/>
      <c r="P61" s="9"/>
      <c r="Q61" s="9"/>
      <c r="R61" s="9"/>
      <c r="S61" s="9"/>
      <c r="T61" s="9"/>
      <c r="U61" s="9"/>
      <c r="V61" s="9"/>
      <c r="W61" s="9"/>
      <c r="X61" s="9"/>
      <c r="Y61" s="9"/>
      <c r="Z61" s="15"/>
    </row>
    <row r="62" spans="1:27" ht="14.5" x14ac:dyDescent="0.35">
      <c r="I62"/>
    </row>
    <row r="63" spans="1:27" ht="14.5" x14ac:dyDescent="0.35">
      <c r="I63"/>
    </row>
    <row r="64" spans="1:27" ht="14.5" x14ac:dyDescent="0.35">
      <c r="I64"/>
      <c r="K64" s="171"/>
    </row>
    <row r="65" spans="9:11" ht="14.5" x14ac:dyDescent="0.35">
      <c r="I65"/>
      <c r="K65" s="171"/>
    </row>
    <row r="95" spans="15:15" ht="14.5" x14ac:dyDescent="0.35">
      <c r="O95"/>
    </row>
    <row r="96" spans="15:15" ht="14.5" x14ac:dyDescent="0.35">
      <c r="O96"/>
    </row>
    <row r="97" spans="15:15" ht="14.5" x14ac:dyDescent="0.35">
      <c r="O97"/>
    </row>
    <row r="98" spans="15:15" ht="14.5" x14ac:dyDescent="0.35">
      <c r="O98"/>
    </row>
    <row r="99" spans="15:15" ht="14.5" x14ac:dyDescent="0.35">
      <c r="O99"/>
    </row>
    <row r="100" spans="15:15" ht="14.5" x14ac:dyDescent="0.35">
      <c r="O100"/>
    </row>
    <row r="101" spans="15:15" ht="14.5" x14ac:dyDescent="0.35">
      <c r="O101"/>
    </row>
    <row r="102" spans="15:15" ht="14.5" x14ac:dyDescent="0.35">
      <c r="O102"/>
    </row>
    <row r="103" spans="15:15" ht="14.5" x14ac:dyDescent="0.35">
      <c r="O103"/>
    </row>
    <row r="104" spans="15:15" ht="14.5" x14ac:dyDescent="0.35">
      <c r="O104"/>
    </row>
    <row r="105" spans="15:15" ht="14.5" x14ac:dyDescent="0.35">
      <c r="O105"/>
    </row>
    <row r="106" spans="15:15" ht="14.5" x14ac:dyDescent="0.35">
      <c r="O106"/>
    </row>
    <row r="107" spans="15:15" ht="14.5" x14ac:dyDescent="0.35">
      <c r="O107"/>
    </row>
    <row r="108" spans="15:15" ht="14.5" x14ac:dyDescent="0.35">
      <c r="O108"/>
    </row>
    <row r="109" spans="15:15" ht="14.5" x14ac:dyDescent="0.35">
      <c r="O109"/>
    </row>
    <row r="110" spans="15:15" ht="14.5" x14ac:dyDescent="0.35">
      <c r="O110"/>
    </row>
    <row r="111" spans="15:15" ht="14.5" x14ac:dyDescent="0.35">
      <c r="O111"/>
    </row>
    <row r="112" spans="15:15" ht="14.5" x14ac:dyDescent="0.35">
      <c r="O112"/>
    </row>
    <row r="113" spans="15:15" ht="14.5" x14ac:dyDescent="0.35">
      <c r="O113"/>
    </row>
    <row r="114" spans="15:15" ht="14.5" x14ac:dyDescent="0.35">
      <c r="O114"/>
    </row>
    <row r="115" spans="15:15" ht="14.5" x14ac:dyDescent="0.35">
      <c r="O115"/>
    </row>
    <row r="116" spans="15:15" ht="14.5" x14ac:dyDescent="0.35">
      <c r="O116"/>
    </row>
    <row r="117" spans="15:15" ht="14.5" x14ac:dyDescent="0.35">
      <c r="O117"/>
    </row>
    <row r="118" spans="15:15" ht="14.5" x14ac:dyDescent="0.35">
      <c r="O118"/>
    </row>
    <row r="119" spans="15:15" ht="14.5" x14ac:dyDescent="0.35">
      <c r="O119"/>
    </row>
    <row r="120" spans="15:15" ht="14.5" x14ac:dyDescent="0.35">
      <c r="O120"/>
    </row>
    <row r="121" spans="15:15" ht="14.5" x14ac:dyDescent="0.35">
      <c r="O121"/>
    </row>
    <row r="122" spans="15:15" ht="14.5" x14ac:dyDescent="0.35">
      <c r="O122"/>
    </row>
    <row r="123" spans="15:15" ht="14.5" x14ac:dyDescent="0.35">
      <c r="O123"/>
    </row>
    <row r="124" spans="15:15" ht="14.5" x14ac:dyDescent="0.35">
      <c r="O124"/>
    </row>
    <row r="125" spans="15:15" ht="14.5" x14ac:dyDescent="0.35">
      <c r="O125"/>
    </row>
    <row r="126" spans="15:15" ht="14.5" x14ac:dyDescent="0.35">
      <c r="O126"/>
    </row>
    <row r="127" spans="15:15" ht="14.5" x14ac:dyDescent="0.35">
      <c r="O127"/>
    </row>
    <row r="128" spans="15:15" ht="14.5" x14ac:dyDescent="0.35">
      <c r="O128"/>
    </row>
    <row r="129" spans="15:15" ht="14.5" x14ac:dyDescent="0.35">
      <c r="O129"/>
    </row>
    <row r="130" spans="15:15" ht="14.5" x14ac:dyDescent="0.35">
      <c r="O130"/>
    </row>
    <row r="131" spans="15:15" ht="14.5" x14ac:dyDescent="0.35">
      <c r="O131"/>
    </row>
    <row r="132" spans="15:15" ht="14.5" x14ac:dyDescent="0.35">
      <c r="O132"/>
    </row>
    <row r="133" spans="15:15" ht="14.5" x14ac:dyDescent="0.35">
      <c r="O133"/>
    </row>
    <row r="134" spans="15:15" ht="14.5" x14ac:dyDescent="0.35">
      <c r="O134"/>
    </row>
    <row r="135" spans="15:15" ht="14.5" x14ac:dyDescent="0.35">
      <c r="O135"/>
    </row>
    <row r="136" spans="15:15" ht="14.5" x14ac:dyDescent="0.35">
      <c r="O136"/>
    </row>
    <row r="137" spans="15:15" ht="14.5" x14ac:dyDescent="0.35">
      <c r="O137"/>
    </row>
    <row r="138" spans="15:15" ht="14.5" x14ac:dyDescent="0.35">
      <c r="O138"/>
    </row>
    <row r="139" spans="15:15" ht="14.5" x14ac:dyDescent="0.35">
      <c r="O139"/>
    </row>
    <row r="140" spans="15:15" ht="14.5" x14ac:dyDescent="0.35">
      <c r="O140"/>
    </row>
    <row r="141" spans="15:15" ht="14.5" x14ac:dyDescent="0.35">
      <c r="O141"/>
    </row>
    <row r="142" spans="15:15" ht="14.5" x14ac:dyDescent="0.35">
      <c r="O142"/>
    </row>
    <row r="143" spans="15:15" ht="14.5" x14ac:dyDescent="0.35">
      <c r="O143"/>
    </row>
    <row r="144" spans="15:15" ht="14.5" x14ac:dyDescent="0.35">
      <c r="O144"/>
    </row>
    <row r="145" spans="15:15" ht="14.5" x14ac:dyDescent="0.35">
      <c r="O145"/>
    </row>
    <row r="146" spans="15:15" ht="14.5" x14ac:dyDescent="0.35">
      <c r="O146"/>
    </row>
    <row r="147" spans="15:15" ht="14.5" x14ac:dyDescent="0.35">
      <c r="O147"/>
    </row>
    <row r="148" spans="15:15" ht="14.5" x14ac:dyDescent="0.35">
      <c r="O148"/>
    </row>
    <row r="149" spans="15:15" ht="14.5" x14ac:dyDescent="0.35">
      <c r="O149"/>
    </row>
    <row r="150" spans="15:15" ht="14.5" x14ac:dyDescent="0.35">
      <c r="O150"/>
    </row>
    <row r="151" spans="15:15" ht="14.5" x14ac:dyDescent="0.35">
      <c r="O151"/>
    </row>
    <row r="152" spans="15:15" ht="14.5" x14ac:dyDescent="0.35">
      <c r="O152"/>
    </row>
    <row r="153" spans="15:15" ht="14.5" x14ac:dyDescent="0.35">
      <c r="O153"/>
    </row>
    <row r="154" spans="15:15" ht="14.5" x14ac:dyDescent="0.35">
      <c r="O154"/>
    </row>
    <row r="155" spans="15:15" ht="14.5" x14ac:dyDescent="0.35">
      <c r="O155"/>
    </row>
    <row r="156" spans="15:15" ht="14.5" x14ac:dyDescent="0.35">
      <c r="O156"/>
    </row>
    <row r="157" spans="15:15" ht="14.5" x14ac:dyDescent="0.35">
      <c r="O157"/>
    </row>
    <row r="158" spans="15:15" ht="14.5" x14ac:dyDescent="0.35">
      <c r="O158"/>
    </row>
    <row r="159" spans="15:15" ht="14.5" x14ac:dyDescent="0.35">
      <c r="O159"/>
    </row>
    <row r="160" spans="15:15" ht="14.5" x14ac:dyDescent="0.35">
      <c r="O160"/>
    </row>
    <row r="161" spans="15:15" ht="14.5" x14ac:dyDescent="0.35">
      <c r="O161"/>
    </row>
    <row r="162" spans="15:15" ht="14.5" x14ac:dyDescent="0.35">
      <c r="O162"/>
    </row>
    <row r="163" spans="15:15" ht="14.5" x14ac:dyDescent="0.35">
      <c r="O163"/>
    </row>
    <row r="164" spans="15:15" ht="14.5" x14ac:dyDescent="0.35">
      <c r="O164"/>
    </row>
    <row r="165" spans="15:15" ht="14.5" x14ac:dyDescent="0.35">
      <c r="O165"/>
    </row>
    <row r="166" spans="15:15" ht="14.5" x14ac:dyDescent="0.35">
      <c r="O166"/>
    </row>
    <row r="167" spans="15:15" ht="14.5" x14ac:dyDescent="0.35">
      <c r="O167"/>
    </row>
    <row r="168" spans="15:15" ht="14.5" x14ac:dyDescent="0.35">
      <c r="O168"/>
    </row>
    <row r="169" spans="15:15" ht="14.5" x14ac:dyDescent="0.35">
      <c r="O169"/>
    </row>
    <row r="170" spans="15:15" ht="14.5" x14ac:dyDescent="0.35">
      <c r="O170"/>
    </row>
    <row r="171" spans="15:15" ht="14.5" x14ac:dyDescent="0.35">
      <c r="O171"/>
    </row>
    <row r="172" spans="15:15" ht="14.5" x14ac:dyDescent="0.35">
      <c r="O172"/>
    </row>
    <row r="173" spans="15:15" ht="14.5" x14ac:dyDescent="0.35">
      <c r="O173"/>
    </row>
    <row r="174" spans="15:15" ht="14.5" x14ac:dyDescent="0.35">
      <c r="O174"/>
    </row>
    <row r="175" spans="15:15" ht="14.5" x14ac:dyDescent="0.35">
      <c r="O175"/>
    </row>
    <row r="176" spans="15:15" ht="14.5" x14ac:dyDescent="0.35">
      <c r="O176"/>
    </row>
    <row r="177" spans="15:15" ht="14.5" x14ac:dyDescent="0.35">
      <c r="O177"/>
    </row>
    <row r="178" spans="15:15" ht="14.5" x14ac:dyDescent="0.35">
      <c r="O178"/>
    </row>
    <row r="179" spans="15:15" ht="14.5" x14ac:dyDescent="0.35">
      <c r="O179"/>
    </row>
    <row r="180" spans="15:15" ht="14.5" x14ac:dyDescent="0.35">
      <c r="O180"/>
    </row>
  </sheetData>
  <sheetProtection algorithmName="SHA-512" hashValue="ZpB8NPhAOgWF4TmJU566v53TWSmI+D2FWJx2wNM6WvkEkdAMQWNm/9Zr8NmRiyGWYYDWauLOKDKhrR3M+wHguA==" saltValue="nkpnvo1LskBilQkT1s+jgQ==" spinCount="100000" sheet="1" objects="1" scenarios="1"/>
  <mergeCells count="8">
    <mergeCell ref="B19:Q19"/>
    <mergeCell ref="B10:Q10"/>
    <mergeCell ref="B12:Q12"/>
    <mergeCell ref="B23:V23"/>
    <mergeCell ref="B7:Y7"/>
    <mergeCell ref="B8:Q8"/>
    <mergeCell ref="B14:Q14"/>
    <mergeCell ref="B17:Q17"/>
  </mergeCells>
  <printOptions gridLines="1"/>
  <pageMargins left="0" right="0" top="0" bottom="0" header="0.3" footer="0.3"/>
  <pageSetup scale="4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5E1D-7479-4078-BE87-815A705B302D}">
  <sheetPr codeName="Sheet21">
    <tabColor theme="1"/>
    <pageSetUpPr fitToPage="1"/>
  </sheetPr>
  <dimension ref="A1:W3033"/>
  <sheetViews>
    <sheetView zoomScale="85" zoomScaleNormal="85" workbookViewId="0">
      <selection activeCell="V3" sqref="V3"/>
    </sheetView>
  </sheetViews>
  <sheetFormatPr defaultColWidth="9.08984375" defaultRowHeight="14" x14ac:dyDescent="0.3"/>
  <cols>
    <col min="1" max="1" width="5.6328125" style="64" customWidth="1"/>
    <col min="2" max="4" width="5.453125" style="64" customWidth="1"/>
    <col min="5" max="5" width="14.08984375" style="64" customWidth="1"/>
    <col min="6" max="6" width="15.6328125" style="64" customWidth="1"/>
    <col min="7" max="7" width="13.36328125" style="64" customWidth="1"/>
    <col min="8" max="8" width="1.54296875" style="64" customWidth="1"/>
    <col min="9" max="9" width="42.36328125" style="64" customWidth="1"/>
    <col min="10" max="10" width="43.6328125" style="64" customWidth="1"/>
    <col min="11" max="11" width="2.90625" style="64" customWidth="1"/>
    <col min="12" max="12" width="20.90625" style="64" customWidth="1"/>
    <col min="13" max="13" width="5.6328125" style="64" customWidth="1"/>
    <col min="14" max="14" width="35.54296875" style="64" customWidth="1"/>
    <col min="15" max="15" width="2.90625" style="64" customWidth="1"/>
    <col min="16" max="16" width="14.36328125" style="64" customWidth="1"/>
    <col min="17" max="17" width="2.90625" style="64" customWidth="1"/>
    <col min="18" max="18" width="11.453125" style="64" customWidth="1"/>
    <col min="19" max="19" width="2.90625" style="64" customWidth="1"/>
    <col min="20" max="22" width="16.36328125" style="64" customWidth="1"/>
    <col min="23" max="23" width="5.6328125" style="64" customWidth="1"/>
    <col min="24" max="24" width="9.08984375" style="64"/>
    <col min="25" max="25" width="14" style="64" customWidth="1"/>
    <col min="26" max="26" width="22.6328125" style="64" customWidth="1"/>
    <col min="27" max="27" width="16.453125" style="64" customWidth="1"/>
    <col min="28" max="28" width="9.08984375" style="64"/>
    <col min="29" max="29" width="13" style="64" customWidth="1"/>
    <col min="30" max="30" width="9.08984375" style="64"/>
    <col min="31" max="31" width="11" style="64" customWidth="1"/>
    <col min="32" max="16384" width="9.08984375" style="64"/>
  </cols>
  <sheetData>
    <row r="1" spans="1:23" ht="75" customHeight="1" x14ac:dyDescent="0.3">
      <c r="A1" s="63"/>
      <c r="B1" s="63"/>
      <c r="C1" s="63"/>
      <c r="D1" s="63"/>
      <c r="E1" s="63"/>
      <c r="F1" s="63"/>
      <c r="G1" s="63"/>
      <c r="H1" s="63"/>
      <c r="I1" s="63"/>
      <c r="J1" s="63"/>
      <c r="K1" s="63"/>
      <c r="L1" s="63"/>
      <c r="M1" s="63"/>
      <c r="N1" s="63"/>
      <c r="O1" s="63"/>
      <c r="P1" s="63"/>
      <c r="Q1" s="63"/>
      <c r="R1" s="63"/>
      <c r="S1" s="63"/>
      <c r="T1" s="63"/>
      <c r="U1" s="63"/>
      <c r="V1" s="63"/>
      <c r="W1" s="63"/>
    </row>
    <row r="2" spans="1:23" ht="15" customHeight="1" x14ac:dyDescent="0.3">
      <c r="A2" s="15"/>
      <c r="B2" s="15"/>
      <c r="C2" s="15"/>
      <c r="D2" s="15"/>
      <c r="E2" s="15"/>
      <c r="F2" s="15"/>
      <c r="G2" s="15"/>
      <c r="H2" s="15"/>
      <c r="I2" s="15"/>
      <c r="J2" s="15"/>
      <c r="K2" s="15"/>
      <c r="L2" s="15"/>
      <c r="M2" s="15"/>
      <c r="N2" s="15"/>
      <c r="O2" s="15"/>
      <c r="P2" s="15"/>
      <c r="Q2" s="15"/>
      <c r="R2" s="15"/>
      <c r="S2" s="15"/>
      <c r="T2" s="15"/>
      <c r="U2" s="15"/>
      <c r="V2" s="15"/>
      <c r="W2" s="15"/>
    </row>
    <row r="3" spans="1:23" ht="30.75" customHeight="1" x14ac:dyDescent="0.3">
      <c r="A3" s="15"/>
      <c r="B3" s="96"/>
      <c r="C3" s="34"/>
      <c r="D3" s="34"/>
      <c r="E3" s="15"/>
      <c r="F3" s="15"/>
      <c r="G3" s="15"/>
      <c r="H3" s="15"/>
      <c r="I3" s="15"/>
      <c r="J3" s="15"/>
      <c r="K3" s="15"/>
      <c r="L3" s="15"/>
      <c r="M3" s="15"/>
      <c r="N3" s="15"/>
      <c r="O3" s="15"/>
      <c r="P3" s="15"/>
      <c r="Q3" s="15"/>
      <c r="R3" s="15"/>
      <c r="S3" s="15"/>
      <c r="T3" s="15"/>
      <c r="U3" s="15"/>
      <c r="V3" s="229" t="str">
        <f>'Front Cover'!Y3</f>
        <v>December 2024</v>
      </c>
      <c r="W3" s="15"/>
    </row>
    <row r="4" spans="1:23" s="70" customFormat="1" ht="30.75" customHeight="1" x14ac:dyDescent="0.35">
      <c r="A4" s="69"/>
      <c r="B4" s="413" t="s">
        <v>138</v>
      </c>
      <c r="C4" s="414"/>
      <c r="D4" s="414"/>
      <c r="E4" s="414"/>
      <c r="F4" s="414"/>
      <c r="G4" s="414"/>
      <c r="H4" s="414"/>
      <c r="I4" s="414"/>
      <c r="J4" s="414"/>
      <c r="K4" s="414"/>
      <c r="L4" s="414"/>
      <c r="M4" s="414"/>
      <c r="N4" s="69"/>
      <c r="O4" s="69"/>
      <c r="P4" s="69"/>
      <c r="Q4" s="69"/>
      <c r="R4" s="69"/>
      <c r="S4" s="69"/>
      <c r="T4" s="69"/>
      <c r="U4" s="69"/>
      <c r="V4" s="69"/>
      <c r="W4" s="69"/>
    </row>
    <row r="5" spans="1:23" ht="7.5" customHeight="1" x14ac:dyDescent="0.4">
      <c r="A5" s="15"/>
      <c r="B5" s="14"/>
      <c r="C5" s="14"/>
      <c r="D5" s="14"/>
      <c r="E5" s="15"/>
      <c r="F5" s="15"/>
      <c r="G5" s="15"/>
      <c r="H5" s="15"/>
      <c r="I5" s="15"/>
      <c r="J5" s="15"/>
      <c r="K5" s="15"/>
      <c r="L5" s="15"/>
      <c r="M5" s="15"/>
      <c r="N5" s="15"/>
      <c r="O5" s="15"/>
      <c r="P5" s="15"/>
      <c r="Q5" s="15"/>
      <c r="R5" s="15"/>
      <c r="S5" s="15"/>
      <c r="T5" s="15"/>
      <c r="U5" s="15"/>
      <c r="V5" s="15"/>
      <c r="W5" s="15"/>
    </row>
    <row r="6" spans="1:23" ht="30" customHeight="1" x14ac:dyDescent="0.3">
      <c r="A6" s="15"/>
      <c r="B6" s="276" t="s">
        <v>139</v>
      </c>
      <c r="C6" s="276"/>
      <c r="D6" s="276"/>
      <c r="E6" s="276"/>
      <c r="F6" s="276"/>
      <c r="G6" s="276"/>
      <c r="H6" s="276"/>
      <c r="I6" s="276"/>
      <c r="J6" s="276"/>
      <c r="K6" s="276"/>
      <c r="L6" s="276"/>
      <c r="M6" s="276"/>
      <c r="N6" s="59"/>
      <c r="O6" s="59"/>
      <c r="P6" s="59"/>
      <c r="Q6" s="59"/>
      <c r="R6" s="59"/>
      <c r="S6" s="59"/>
      <c r="T6" s="59"/>
      <c r="U6" s="59"/>
      <c r="V6" s="59"/>
      <c r="W6" s="15"/>
    </row>
    <row r="7" spans="1:23" ht="8.25" customHeight="1" x14ac:dyDescent="0.3">
      <c r="A7" s="15"/>
      <c r="B7" s="60"/>
      <c r="C7" s="60"/>
      <c r="D7" s="60"/>
      <c r="E7" s="60"/>
      <c r="F7" s="60"/>
      <c r="G7" s="60"/>
      <c r="H7" s="60"/>
      <c r="I7" s="60"/>
      <c r="J7" s="60"/>
      <c r="K7" s="60"/>
      <c r="L7" s="60"/>
      <c r="M7" s="15"/>
      <c r="N7" s="15"/>
      <c r="O7" s="15"/>
      <c r="P7" s="15"/>
      <c r="Q7" s="15"/>
      <c r="R7" s="15"/>
      <c r="S7" s="15"/>
      <c r="T7" s="15"/>
      <c r="U7" s="15"/>
      <c r="V7" s="15"/>
      <c r="W7" s="15"/>
    </row>
    <row r="8" spans="1:23" s="102" customFormat="1" x14ac:dyDescent="0.35">
      <c r="A8" s="101"/>
      <c r="B8" s="420" t="s">
        <v>140</v>
      </c>
      <c r="C8" s="420"/>
      <c r="D8" s="420"/>
      <c r="E8" s="420"/>
      <c r="F8" s="420"/>
      <c r="G8" s="420"/>
      <c r="H8" s="420"/>
      <c r="I8" s="420"/>
      <c r="J8" s="421" t="s">
        <v>141</v>
      </c>
      <c r="K8" s="421"/>
      <c r="L8" s="421"/>
      <c r="M8" s="421"/>
      <c r="N8" s="421"/>
      <c r="O8" s="101"/>
      <c r="P8" s="101"/>
      <c r="Q8" s="101"/>
      <c r="R8" s="101"/>
      <c r="S8" s="101"/>
      <c r="T8" s="101"/>
      <c r="U8" s="101"/>
      <c r="V8" s="101"/>
      <c r="W8" s="101"/>
    </row>
    <row r="9" spans="1:23" s="102" customFormat="1" ht="5.25" customHeight="1" x14ac:dyDescent="0.35">
      <c r="A9" s="101"/>
      <c r="B9" s="103"/>
      <c r="C9" s="103"/>
      <c r="D9" s="103"/>
      <c r="E9" s="103"/>
      <c r="F9" s="103"/>
      <c r="G9" s="103"/>
      <c r="H9" s="103"/>
      <c r="I9" s="103"/>
      <c r="J9" s="104"/>
      <c r="K9" s="104"/>
      <c r="L9" s="104"/>
      <c r="M9" s="104"/>
      <c r="N9" s="104"/>
      <c r="O9" s="101"/>
      <c r="P9" s="101"/>
      <c r="Q9" s="101"/>
      <c r="R9" s="101"/>
      <c r="S9" s="101"/>
      <c r="T9" s="101"/>
      <c r="U9" s="101"/>
      <c r="V9" s="101"/>
      <c r="W9" s="101"/>
    </row>
    <row r="10" spans="1:23" s="102" customFormat="1" ht="15" customHeight="1" x14ac:dyDescent="0.3">
      <c r="A10" s="101"/>
      <c r="B10" s="416" t="s">
        <v>142</v>
      </c>
      <c r="C10" s="416"/>
      <c r="D10" s="416"/>
      <c r="E10" s="416"/>
      <c r="F10" s="416"/>
      <c r="G10" s="416"/>
      <c r="H10" s="416"/>
      <c r="I10" s="416"/>
      <c r="J10" s="417" t="s">
        <v>143</v>
      </c>
      <c r="K10" s="417"/>
      <c r="L10" s="417"/>
      <c r="M10" s="417"/>
      <c r="N10" s="417"/>
      <c r="O10" s="101"/>
      <c r="P10" s="101"/>
      <c r="Q10" s="101"/>
      <c r="R10" s="101"/>
      <c r="S10" s="101"/>
      <c r="T10" s="101"/>
      <c r="U10" s="101"/>
      <c r="V10" s="101"/>
      <c r="W10" s="101"/>
    </row>
    <row r="11" spans="1:23" s="102" customFormat="1" ht="15" customHeight="1" x14ac:dyDescent="0.3">
      <c r="A11" s="101"/>
      <c r="B11" s="416" t="s">
        <v>144</v>
      </c>
      <c r="C11" s="416"/>
      <c r="D11" s="416"/>
      <c r="E11" s="416"/>
      <c r="F11" s="416"/>
      <c r="G11" s="416"/>
      <c r="H11" s="416"/>
      <c r="I11" s="416"/>
      <c r="J11" s="417" t="s">
        <v>145</v>
      </c>
      <c r="K11" s="417"/>
      <c r="L11" s="417"/>
      <c r="M11" s="417"/>
      <c r="N11" s="417"/>
      <c r="O11" s="101"/>
      <c r="P11" s="101"/>
      <c r="Q11" s="101"/>
      <c r="R11" s="101"/>
      <c r="S11" s="101"/>
      <c r="T11" s="101"/>
      <c r="U11" s="101"/>
      <c r="V11" s="101"/>
      <c r="W11" s="101"/>
    </row>
    <row r="12" spans="1:23" s="102" customFormat="1" ht="15" customHeight="1" x14ac:dyDescent="0.3">
      <c r="A12" s="101"/>
      <c r="B12" s="422" t="s">
        <v>146</v>
      </c>
      <c r="C12" s="422"/>
      <c r="D12" s="422"/>
      <c r="E12" s="422"/>
      <c r="F12" s="422"/>
      <c r="G12" s="422"/>
      <c r="H12" s="422"/>
      <c r="I12" s="422"/>
      <c r="J12" s="415" t="s">
        <v>147</v>
      </c>
      <c r="K12" s="415"/>
      <c r="L12" s="415"/>
      <c r="M12" s="415"/>
      <c r="N12" s="415"/>
      <c r="O12" s="101"/>
      <c r="P12" s="101"/>
      <c r="Q12" s="101"/>
      <c r="R12" s="101"/>
      <c r="S12" s="101"/>
      <c r="T12" s="101"/>
      <c r="U12" s="101"/>
      <c r="V12" s="101"/>
      <c r="W12" s="101"/>
    </row>
    <row r="13" spans="1:23" s="102" customFormat="1" ht="15" customHeight="1" x14ac:dyDescent="0.3">
      <c r="A13" s="101"/>
      <c r="B13" s="416" t="s">
        <v>148</v>
      </c>
      <c r="C13" s="416"/>
      <c r="D13" s="416"/>
      <c r="E13" s="416"/>
      <c r="F13" s="416"/>
      <c r="G13" s="416"/>
      <c r="H13" s="416"/>
      <c r="I13" s="416"/>
      <c r="J13" s="417" t="s">
        <v>149</v>
      </c>
      <c r="K13" s="417"/>
      <c r="L13" s="417"/>
      <c r="M13" s="417"/>
      <c r="N13" s="417"/>
      <c r="O13" s="101"/>
      <c r="P13" s="101"/>
      <c r="Q13" s="101"/>
      <c r="R13" s="101"/>
      <c r="S13" s="101"/>
      <c r="T13" s="101"/>
      <c r="U13" s="101"/>
      <c r="V13" s="101"/>
      <c r="W13" s="101"/>
    </row>
    <row r="14" spans="1:23" s="102" customFormat="1" ht="15" customHeight="1" x14ac:dyDescent="0.3">
      <c r="A14" s="101"/>
      <c r="B14" s="418" t="s">
        <v>150</v>
      </c>
      <c r="C14" s="418"/>
      <c r="D14" s="418"/>
      <c r="E14" s="418"/>
      <c r="F14" s="418"/>
      <c r="G14" s="418"/>
      <c r="H14" s="418"/>
      <c r="I14" s="418"/>
      <c r="J14" s="419" t="s">
        <v>151</v>
      </c>
      <c r="K14" s="419"/>
      <c r="L14" s="419"/>
      <c r="M14" s="419"/>
      <c r="N14" s="419"/>
      <c r="O14" s="101"/>
      <c r="P14" s="101"/>
      <c r="Q14" s="101"/>
      <c r="R14" s="101"/>
      <c r="S14" s="101"/>
      <c r="T14" s="101"/>
      <c r="U14" s="101"/>
      <c r="V14" s="101"/>
      <c r="W14" s="101"/>
    </row>
    <row r="15" spans="1:23" s="102" customFormat="1" ht="15" customHeight="1" x14ac:dyDescent="0.3">
      <c r="A15" s="101"/>
      <c r="B15" s="416" t="s">
        <v>152</v>
      </c>
      <c r="C15" s="416"/>
      <c r="D15" s="416"/>
      <c r="E15" s="416"/>
      <c r="F15" s="416"/>
      <c r="G15" s="416"/>
      <c r="H15" s="416"/>
      <c r="I15" s="416"/>
      <c r="J15" s="417" t="s">
        <v>153</v>
      </c>
      <c r="K15" s="417"/>
      <c r="L15" s="417"/>
      <c r="M15" s="417"/>
      <c r="N15" s="417"/>
      <c r="O15" s="101"/>
      <c r="P15" s="101"/>
      <c r="Q15" s="101"/>
      <c r="R15" s="101"/>
      <c r="S15" s="101"/>
      <c r="T15" s="101"/>
      <c r="U15" s="101"/>
      <c r="V15" s="101"/>
      <c r="W15" s="101"/>
    </row>
    <row r="16" spans="1:23" s="102" customFormat="1" ht="15" customHeight="1" x14ac:dyDescent="0.3">
      <c r="A16" s="101"/>
      <c r="B16" s="418" t="s">
        <v>154</v>
      </c>
      <c r="C16" s="418"/>
      <c r="D16" s="418"/>
      <c r="E16" s="418"/>
      <c r="F16" s="418"/>
      <c r="G16" s="418"/>
      <c r="H16" s="418"/>
      <c r="I16" s="418"/>
      <c r="J16" s="419" t="s">
        <v>155</v>
      </c>
      <c r="K16" s="419"/>
      <c r="L16" s="419"/>
      <c r="M16" s="419"/>
      <c r="N16" s="419"/>
      <c r="O16" s="101"/>
      <c r="P16" s="101"/>
      <c r="Q16" s="101"/>
      <c r="R16" s="101"/>
      <c r="S16" s="101"/>
      <c r="T16" s="101"/>
      <c r="U16" s="101"/>
      <c r="V16" s="101"/>
      <c r="W16" s="101"/>
    </row>
    <row r="17" spans="1:23" s="102" customFormat="1" ht="15" customHeight="1" x14ac:dyDescent="0.3">
      <c r="A17" s="101"/>
      <c r="B17" s="416" t="s">
        <v>156</v>
      </c>
      <c r="C17" s="416"/>
      <c r="D17" s="416"/>
      <c r="E17" s="416"/>
      <c r="F17" s="416"/>
      <c r="G17" s="416"/>
      <c r="H17" s="416"/>
      <c r="I17" s="416"/>
      <c r="J17" s="417" t="s">
        <v>157</v>
      </c>
      <c r="K17" s="417"/>
      <c r="L17" s="417"/>
      <c r="M17" s="417"/>
      <c r="N17" s="417"/>
      <c r="O17" s="101"/>
      <c r="P17" s="101"/>
      <c r="Q17" s="101"/>
      <c r="R17" s="101"/>
      <c r="S17" s="101"/>
      <c r="T17" s="101"/>
      <c r="U17" s="101"/>
      <c r="V17" s="101"/>
      <c r="W17" s="101"/>
    </row>
    <row r="18" spans="1:23" s="102" customFormat="1" ht="15" customHeight="1" x14ac:dyDescent="0.3">
      <c r="A18" s="101"/>
      <c r="B18" s="418" t="s">
        <v>158</v>
      </c>
      <c r="C18" s="418"/>
      <c r="D18" s="418"/>
      <c r="E18" s="418"/>
      <c r="F18" s="418"/>
      <c r="G18" s="418"/>
      <c r="H18" s="418"/>
      <c r="I18" s="418"/>
      <c r="J18" s="419" t="s">
        <v>159</v>
      </c>
      <c r="K18" s="419"/>
      <c r="L18" s="419"/>
      <c r="M18" s="419"/>
      <c r="N18" s="419"/>
      <c r="O18" s="101"/>
      <c r="P18" s="101"/>
      <c r="Q18" s="101"/>
      <c r="R18" s="101"/>
      <c r="S18" s="101"/>
      <c r="T18" s="101"/>
      <c r="U18" s="101"/>
      <c r="V18" s="101"/>
      <c r="W18" s="101"/>
    </row>
    <row r="19" spans="1:23" s="102" customFormat="1" ht="15" customHeight="1" x14ac:dyDescent="0.3">
      <c r="A19" s="101"/>
      <c r="B19" s="416" t="s">
        <v>160</v>
      </c>
      <c r="C19" s="416"/>
      <c r="D19" s="416"/>
      <c r="E19" s="416"/>
      <c r="F19" s="416"/>
      <c r="G19" s="416"/>
      <c r="H19" s="416"/>
      <c r="I19" s="416"/>
      <c r="J19" s="417" t="s">
        <v>161</v>
      </c>
      <c r="K19" s="417"/>
      <c r="L19" s="417"/>
      <c r="M19" s="417"/>
      <c r="N19" s="417"/>
      <c r="O19" s="101"/>
      <c r="P19" s="101"/>
      <c r="Q19" s="101"/>
      <c r="R19" s="101"/>
      <c r="S19" s="101"/>
      <c r="T19" s="101"/>
      <c r="U19" s="101"/>
      <c r="V19" s="101"/>
      <c r="W19" s="101"/>
    </row>
    <row r="20" spans="1:23" s="102" customFormat="1" ht="15" customHeight="1" x14ac:dyDescent="0.3">
      <c r="A20" s="101"/>
      <c r="B20" s="418" t="s">
        <v>162</v>
      </c>
      <c r="C20" s="418"/>
      <c r="D20" s="418"/>
      <c r="E20" s="418"/>
      <c r="F20" s="418"/>
      <c r="G20" s="418"/>
      <c r="H20" s="418"/>
      <c r="I20" s="418"/>
      <c r="J20" s="419" t="s">
        <v>163</v>
      </c>
      <c r="K20" s="419"/>
      <c r="L20" s="419"/>
      <c r="M20" s="419"/>
      <c r="N20" s="419"/>
      <c r="O20" s="101"/>
      <c r="P20" s="101"/>
      <c r="Q20" s="101"/>
      <c r="R20" s="101"/>
      <c r="S20" s="101"/>
      <c r="T20" s="101"/>
      <c r="U20" s="101"/>
      <c r="V20" s="101"/>
      <c r="W20" s="101"/>
    </row>
    <row r="21" spans="1:23" s="102" customFormat="1" ht="15" customHeight="1" x14ac:dyDescent="0.3">
      <c r="A21" s="101"/>
      <c r="B21" s="416" t="s">
        <v>164</v>
      </c>
      <c r="C21" s="416"/>
      <c r="D21" s="416"/>
      <c r="E21" s="416"/>
      <c r="F21" s="416"/>
      <c r="G21" s="416"/>
      <c r="H21" s="416"/>
      <c r="I21" s="416"/>
      <c r="J21" s="417" t="s">
        <v>165</v>
      </c>
      <c r="K21" s="417"/>
      <c r="L21" s="417"/>
      <c r="M21" s="417"/>
      <c r="N21" s="417"/>
      <c r="O21" s="101"/>
      <c r="P21" s="101"/>
      <c r="Q21" s="101"/>
      <c r="R21" s="101"/>
      <c r="S21" s="101"/>
      <c r="T21" s="101"/>
      <c r="U21" s="101"/>
      <c r="V21" s="101"/>
      <c r="W21" s="101"/>
    </row>
    <row r="22" spans="1:23" s="102" customFormat="1" ht="15" customHeight="1" x14ac:dyDescent="0.3">
      <c r="A22" s="101"/>
      <c r="B22" s="418" t="s">
        <v>166</v>
      </c>
      <c r="C22" s="418"/>
      <c r="D22" s="418"/>
      <c r="E22" s="418"/>
      <c r="F22" s="418"/>
      <c r="G22" s="418"/>
      <c r="H22" s="418"/>
      <c r="I22" s="418"/>
      <c r="J22" s="419" t="s">
        <v>167</v>
      </c>
      <c r="K22" s="419"/>
      <c r="L22" s="419"/>
      <c r="M22" s="419"/>
      <c r="N22" s="419"/>
      <c r="O22" s="101"/>
      <c r="P22" s="101"/>
      <c r="Q22" s="101"/>
      <c r="R22" s="101"/>
      <c r="S22" s="101"/>
      <c r="T22" s="101"/>
      <c r="U22" s="101"/>
      <c r="V22" s="101"/>
      <c r="W22" s="101"/>
    </row>
    <row r="23" spans="1:23" s="102" customFormat="1" ht="15" customHeight="1" x14ac:dyDescent="0.3">
      <c r="A23" s="101"/>
      <c r="B23" s="416" t="s">
        <v>168</v>
      </c>
      <c r="C23" s="416"/>
      <c r="D23" s="416"/>
      <c r="E23" s="416"/>
      <c r="F23" s="416"/>
      <c r="G23" s="416"/>
      <c r="H23" s="416"/>
      <c r="I23" s="416"/>
      <c r="J23" s="417" t="s">
        <v>169</v>
      </c>
      <c r="K23" s="417"/>
      <c r="L23" s="417"/>
      <c r="M23" s="417"/>
      <c r="N23" s="417"/>
      <c r="O23" s="101"/>
      <c r="P23" s="101"/>
      <c r="Q23" s="101"/>
      <c r="R23" s="101"/>
      <c r="S23" s="101"/>
      <c r="T23" s="101"/>
      <c r="U23" s="101"/>
      <c r="V23" s="101"/>
      <c r="W23" s="101"/>
    </row>
    <row r="24" spans="1:23" s="102" customFormat="1" ht="15" customHeight="1" x14ac:dyDescent="0.3">
      <c r="A24" s="101"/>
      <c r="B24" s="418" t="s">
        <v>170</v>
      </c>
      <c r="C24" s="418"/>
      <c r="D24" s="418"/>
      <c r="E24" s="418"/>
      <c r="F24" s="418"/>
      <c r="G24" s="418"/>
      <c r="H24" s="418"/>
      <c r="I24" s="418"/>
      <c r="J24" s="419" t="s">
        <v>171</v>
      </c>
      <c r="K24" s="419"/>
      <c r="L24" s="419"/>
      <c r="M24" s="419"/>
      <c r="N24" s="419"/>
      <c r="O24" s="101"/>
      <c r="P24" s="101"/>
      <c r="Q24" s="101"/>
      <c r="R24" s="101"/>
      <c r="S24" s="101"/>
      <c r="T24" s="101"/>
      <c r="U24" s="101"/>
      <c r="V24" s="101"/>
      <c r="W24" s="101"/>
    </row>
    <row r="25" spans="1:23" s="102" customFormat="1" ht="15" customHeight="1" x14ac:dyDescent="0.3">
      <c r="A25" s="101"/>
      <c r="B25" s="416" t="s">
        <v>172</v>
      </c>
      <c r="C25" s="416"/>
      <c r="D25" s="416"/>
      <c r="E25" s="416"/>
      <c r="F25" s="416"/>
      <c r="G25" s="416"/>
      <c r="H25" s="416"/>
      <c r="I25" s="416"/>
      <c r="J25" s="417" t="s">
        <v>173</v>
      </c>
      <c r="K25" s="417"/>
      <c r="L25" s="417"/>
      <c r="M25" s="417"/>
      <c r="N25" s="417"/>
      <c r="O25" s="101"/>
      <c r="P25" s="101"/>
      <c r="Q25" s="101"/>
      <c r="R25" s="101"/>
      <c r="S25" s="101"/>
      <c r="T25" s="101"/>
      <c r="U25" s="101"/>
      <c r="V25" s="101"/>
      <c r="W25" s="101"/>
    </row>
    <row r="26" spans="1:23" s="102" customFormat="1" ht="15" customHeight="1" x14ac:dyDescent="0.3">
      <c r="A26" s="101"/>
      <c r="B26" s="418" t="s">
        <v>174</v>
      </c>
      <c r="C26" s="418"/>
      <c r="D26" s="418"/>
      <c r="E26" s="418"/>
      <c r="F26" s="418"/>
      <c r="G26" s="418"/>
      <c r="H26" s="418"/>
      <c r="I26" s="418"/>
      <c r="J26" s="419" t="s">
        <v>175</v>
      </c>
      <c r="K26" s="419"/>
      <c r="L26" s="419"/>
      <c r="M26" s="419"/>
      <c r="N26" s="419"/>
      <c r="O26" s="101"/>
      <c r="P26" s="101"/>
      <c r="Q26" s="101"/>
      <c r="R26" s="101"/>
      <c r="S26" s="101"/>
      <c r="T26" s="101"/>
      <c r="U26" s="101"/>
      <c r="V26" s="101"/>
      <c r="W26" s="101"/>
    </row>
    <row r="27" spans="1:23" s="102" customFormat="1" ht="15" customHeight="1" x14ac:dyDescent="0.3">
      <c r="A27" s="101"/>
      <c r="B27" s="416" t="s">
        <v>176</v>
      </c>
      <c r="C27" s="416"/>
      <c r="D27" s="416"/>
      <c r="E27" s="416"/>
      <c r="F27" s="416"/>
      <c r="G27" s="416"/>
      <c r="H27" s="416"/>
      <c r="I27" s="416"/>
      <c r="J27" s="417" t="s">
        <v>177</v>
      </c>
      <c r="K27" s="417"/>
      <c r="L27" s="417"/>
      <c r="M27" s="417"/>
      <c r="N27" s="417"/>
      <c r="O27" s="101"/>
      <c r="P27" s="101"/>
      <c r="Q27" s="101"/>
      <c r="R27" s="101"/>
      <c r="S27" s="101"/>
      <c r="T27" s="101"/>
      <c r="U27" s="101"/>
      <c r="V27" s="101"/>
      <c r="W27" s="101"/>
    </row>
    <row r="28" spans="1:23" s="102" customFormat="1" ht="15" customHeight="1" x14ac:dyDescent="0.3">
      <c r="A28" s="101"/>
      <c r="B28" s="418" t="s">
        <v>178</v>
      </c>
      <c r="C28" s="418"/>
      <c r="D28" s="418"/>
      <c r="E28" s="418"/>
      <c r="F28" s="418"/>
      <c r="G28" s="418"/>
      <c r="H28" s="418"/>
      <c r="I28" s="418"/>
      <c r="J28" s="419" t="s">
        <v>179</v>
      </c>
      <c r="K28" s="419"/>
      <c r="L28" s="419"/>
      <c r="M28" s="419"/>
      <c r="N28" s="419"/>
      <c r="O28" s="101"/>
      <c r="P28" s="101"/>
      <c r="Q28" s="101"/>
      <c r="R28" s="101"/>
      <c r="S28" s="101"/>
      <c r="T28" s="101"/>
      <c r="U28" s="101"/>
      <c r="V28" s="101"/>
      <c r="W28" s="101"/>
    </row>
    <row r="29" spans="1:23" s="102" customFormat="1" ht="15" customHeight="1" x14ac:dyDescent="0.3">
      <c r="A29" s="101"/>
      <c r="B29" s="416" t="s">
        <v>180</v>
      </c>
      <c r="C29" s="416"/>
      <c r="D29" s="416"/>
      <c r="E29" s="416"/>
      <c r="F29" s="416"/>
      <c r="G29" s="416"/>
      <c r="H29" s="416"/>
      <c r="I29" s="416"/>
      <c r="J29" s="417" t="s">
        <v>181</v>
      </c>
      <c r="K29" s="417"/>
      <c r="L29" s="417"/>
      <c r="M29" s="417"/>
      <c r="N29" s="417"/>
      <c r="O29" s="101"/>
      <c r="P29" s="101"/>
      <c r="Q29" s="101"/>
      <c r="R29" s="101"/>
      <c r="S29" s="101"/>
      <c r="T29" s="101"/>
      <c r="U29" s="101"/>
      <c r="V29" s="101"/>
      <c r="W29" s="101"/>
    </row>
    <row r="30" spans="1:23" s="102" customFormat="1" ht="15" customHeight="1" x14ac:dyDescent="0.3">
      <c r="A30" s="101"/>
      <c r="B30" s="418" t="s">
        <v>182</v>
      </c>
      <c r="C30" s="418"/>
      <c r="D30" s="418"/>
      <c r="E30" s="418"/>
      <c r="F30" s="418"/>
      <c r="G30" s="418"/>
      <c r="H30" s="418"/>
      <c r="I30" s="418"/>
      <c r="J30" s="419" t="s">
        <v>183</v>
      </c>
      <c r="K30" s="419"/>
      <c r="L30" s="419"/>
      <c r="M30" s="419"/>
      <c r="N30" s="419"/>
      <c r="O30" s="101"/>
      <c r="P30" s="101"/>
      <c r="Q30" s="101"/>
      <c r="R30" s="101"/>
      <c r="S30" s="101"/>
      <c r="T30" s="101"/>
      <c r="U30" s="101"/>
      <c r="V30" s="101"/>
      <c r="W30" s="101"/>
    </row>
    <row r="31" spans="1:23" s="102" customFormat="1" ht="15" customHeight="1" x14ac:dyDescent="0.3">
      <c r="A31" s="101"/>
      <c r="B31" s="416" t="s">
        <v>184</v>
      </c>
      <c r="C31" s="416"/>
      <c r="D31" s="416"/>
      <c r="E31" s="416"/>
      <c r="F31" s="416"/>
      <c r="G31" s="416"/>
      <c r="H31" s="416"/>
      <c r="I31" s="416"/>
      <c r="J31" s="417" t="s">
        <v>185</v>
      </c>
      <c r="K31" s="417"/>
      <c r="L31" s="417"/>
      <c r="M31" s="417"/>
      <c r="N31" s="417"/>
      <c r="O31" s="101"/>
      <c r="P31" s="101"/>
      <c r="Q31" s="101"/>
      <c r="R31" s="101"/>
      <c r="S31" s="101"/>
      <c r="T31" s="101"/>
      <c r="U31" s="101"/>
      <c r="V31" s="101"/>
      <c r="W31" s="101"/>
    </row>
    <row r="32" spans="1:23" s="102" customFormat="1" ht="15" customHeight="1" x14ac:dyDescent="0.3">
      <c r="A32" s="101"/>
      <c r="B32" s="418" t="s">
        <v>186</v>
      </c>
      <c r="C32" s="418"/>
      <c r="D32" s="418"/>
      <c r="E32" s="418"/>
      <c r="F32" s="418"/>
      <c r="G32" s="418"/>
      <c r="H32" s="418"/>
      <c r="I32" s="418"/>
      <c r="J32" s="419" t="s">
        <v>187</v>
      </c>
      <c r="K32" s="419"/>
      <c r="L32" s="419"/>
      <c r="M32" s="419"/>
      <c r="N32" s="419"/>
      <c r="O32" s="101"/>
      <c r="P32" s="101"/>
      <c r="Q32" s="101"/>
      <c r="R32" s="101"/>
      <c r="S32" s="101"/>
      <c r="T32" s="101"/>
      <c r="U32" s="101"/>
      <c r="V32" s="101"/>
      <c r="W32" s="101"/>
    </row>
    <row r="33" spans="1:23" s="102" customFormat="1" ht="15" customHeight="1" x14ac:dyDescent="0.3">
      <c r="A33" s="101"/>
      <c r="B33" s="416" t="s">
        <v>188</v>
      </c>
      <c r="C33" s="416"/>
      <c r="D33" s="416"/>
      <c r="E33" s="416"/>
      <c r="F33" s="416"/>
      <c r="G33" s="416"/>
      <c r="H33" s="416"/>
      <c r="I33" s="416"/>
      <c r="J33" s="417" t="s">
        <v>189</v>
      </c>
      <c r="K33" s="417"/>
      <c r="L33" s="417"/>
      <c r="M33" s="417"/>
      <c r="N33" s="417"/>
      <c r="O33" s="101"/>
      <c r="P33" s="101"/>
      <c r="Q33" s="101"/>
      <c r="R33" s="101"/>
      <c r="S33" s="101"/>
      <c r="T33" s="101"/>
      <c r="U33" s="101"/>
      <c r="V33" s="101"/>
      <c r="W33" s="101"/>
    </row>
    <row r="34" spans="1:23" s="102" customFormat="1" ht="15" customHeight="1" x14ac:dyDescent="0.3">
      <c r="A34" s="101"/>
      <c r="B34" s="418" t="s">
        <v>190</v>
      </c>
      <c r="C34" s="418"/>
      <c r="D34" s="418"/>
      <c r="E34" s="418"/>
      <c r="F34" s="418"/>
      <c r="G34" s="418"/>
      <c r="H34" s="418"/>
      <c r="I34" s="418"/>
      <c r="J34" s="419" t="s">
        <v>191</v>
      </c>
      <c r="K34" s="419"/>
      <c r="L34" s="419"/>
      <c r="M34" s="419"/>
      <c r="N34" s="419"/>
      <c r="O34" s="101"/>
      <c r="P34" s="101"/>
      <c r="Q34" s="101"/>
      <c r="R34" s="101"/>
      <c r="S34" s="101"/>
      <c r="T34" s="101"/>
      <c r="U34" s="101"/>
      <c r="V34" s="101"/>
      <c r="W34" s="101"/>
    </row>
    <row r="35" spans="1:23" s="102" customFormat="1" ht="15" customHeight="1" x14ac:dyDescent="0.3">
      <c r="A35" s="101"/>
      <c r="B35" s="416" t="s">
        <v>12</v>
      </c>
      <c r="C35" s="416"/>
      <c r="D35" s="416"/>
      <c r="E35" s="416"/>
      <c r="F35" s="416"/>
      <c r="G35" s="416"/>
      <c r="H35" s="416"/>
      <c r="I35" s="416"/>
      <c r="J35" s="417" t="s">
        <v>191</v>
      </c>
      <c r="K35" s="417"/>
      <c r="L35" s="417"/>
      <c r="M35" s="417"/>
      <c r="N35" s="417"/>
      <c r="O35" s="101"/>
      <c r="P35" s="101"/>
      <c r="Q35" s="101"/>
      <c r="R35" s="101"/>
      <c r="S35" s="101"/>
      <c r="T35" s="101"/>
      <c r="U35" s="101"/>
      <c r="V35" s="101"/>
      <c r="W35" s="101"/>
    </row>
    <row r="36" spans="1:23" s="102" customFormat="1" ht="15" customHeight="1" x14ac:dyDescent="0.3">
      <c r="A36" s="101"/>
      <c r="B36" s="418" t="s">
        <v>192</v>
      </c>
      <c r="C36" s="418"/>
      <c r="D36" s="418"/>
      <c r="E36" s="418"/>
      <c r="F36" s="418"/>
      <c r="G36" s="418"/>
      <c r="H36" s="418"/>
      <c r="I36" s="418"/>
      <c r="J36" s="419" t="s">
        <v>193</v>
      </c>
      <c r="K36" s="419"/>
      <c r="L36" s="419"/>
      <c r="M36" s="419"/>
      <c r="N36" s="419"/>
      <c r="O36" s="101"/>
      <c r="P36" s="101"/>
      <c r="Q36" s="101"/>
      <c r="R36" s="101"/>
      <c r="S36" s="101"/>
      <c r="T36" s="101"/>
      <c r="U36" s="101"/>
      <c r="V36" s="101"/>
      <c r="W36" s="101"/>
    </row>
    <row r="37" spans="1:23" s="102" customFormat="1" ht="15" customHeight="1" x14ac:dyDescent="0.3">
      <c r="A37" s="101"/>
      <c r="B37" s="416" t="s">
        <v>194</v>
      </c>
      <c r="C37" s="416"/>
      <c r="D37" s="416"/>
      <c r="E37" s="416"/>
      <c r="F37" s="416"/>
      <c r="G37" s="416"/>
      <c r="H37" s="416"/>
      <c r="I37" s="416"/>
      <c r="J37" s="417" t="s">
        <v>195</v>
      </c>
      <c r="K37" s="417"/>
      <c r="L37" s="417"/>
      <c r="M37" s="417"/>
      <c r="N37" s="417"/>
      <c r="O37" s="101"/>
      <c r="P37" s="101"/>
      <c r="Q37" s="101"/>
      <c r="R37" s="101"/>
      <c r="S37" s="101"/>
      <c r="T37" s="101"/>
      <c r="U37" s="101"/>
      <c r="V37" s="101"/>
      <c r="W37" s="101"/>
    </row>
    <row r="38" spans="1:23" s="102" customFormat="1" ht="15" customHeight="1" x14ac:dyDescent="0.3">
      <c r="A38" s="101"/>
      <c r="B38" s="418" t="s">
        <v>196</v>
      </c>
      <c r="C38" s="418"/>
      <c r="D38" s="418"/>
      <c r="E38" s="418"/>
      <c r="F38" s="418"/>
      <c r="G38" s="418"/>
      <c r="H38" s="418"/>
      <c r="I38" s="418"/>
      <c r="J38" s="419" t="s">
        <v>197</v>
      </c>
      <c r="K38" s="419"/>
      <c r="L38" s="419"/>
      <c r="M38" s="419"/>
      <c r="N38" s="419"/>
      <c r="O38" s="101"/>
      <c r="P38" s="101"/>
      <c r="Q38" s="101"/>
      <c r="R38" s="101"/>
      <c r="S38" s="101"/>
      <c r="T38" s="101"/>
      <c r="U38" s="101"/>
      <c r="V38" s="101"/>
      <c r="W38" s="101"/>
    </row>
    <row r="39" spans="1:23" s="102" customFormat="1" ht="15" customHeight="1" x14ac:dyDescent="0.3">
      <c r="A39" s="101"/>
      <c r="B39" s="416" t="s">
        <v>198</v>
      </c>
      <c r="C39" s="416"/>
      <c r="D39" s="416"/>
      <c r="E39" s="416"/>
      <c r="F39" s="416"/>
      <c r="G39" s="416"/>
      <c r="H39" s="416"/>
      <c r="I39" s="416"/>
      <c r="J39" s="417" t="s">
        <v>199</v>
      </c>
      <c r="K39" s="417"/>
      <c r="L39" s="417"/>
      <c r="M39" s="417"/>
      <c r="N39" s="417"/>
      <c r="O39" s="101"/>
      <c r="P39" s="101"/>
      <c r="Q39" s="101"/>
      <c r="R39" s="101"/>
      <c r="S39" s="101"/>
      <c r="T39" s="101"/>
      <c r="U39" s="101"/>
      <c r="V39" s="101"/>
      <c r="W39" s="101"/>
    </row>
    <row r="40" spans="1:23" s="102" customFormat="1" ht="15" customHeight="1" x14ac:dyDescent="0.3">
      <c r="A40" s="101"/>
      <c r="B40" s="418" t="s">
        <v>200</v>
      </c>
      <c r="C40" s="418"/>
      <c r="D40" s="418"/>
      <c r="E40" s="418"/>
      <c r="F40" s="418"/>
      <c r="G40" s="418"/>
      <c r="H40" s="418"/>
      <c r="I40" s="418"/>
      <c r="J40" s="419" t="s">
        <v>201</v>
      </c>
      <c r="K40" s="419"/>
      <c r="L40" s="419"/>
      <c r="M40" s="419"/>
      <c r="N40" s="419"/>
      <c r="O40" s="101"/>
      <c r="P40" s="101"/>
      <c r="Q40" s="101"/>
      <c r="R40" s="101"/>
      <c r="S40" s="101"/>
      <c r="T40" s="101"/>
      <c r="U40" s="101"/>
      <c r="V40" s="101"/>
      <c r="W40" s="101"/>
    </row>
    <row r="41" spans="1:23" s="102" customFormat="1" ht="15" customHeight="1" x14ac:dyDescent="0.3">
      <c r="A41" s="101"/>
      <c r="B41" s="416" t="s">
        <v>202</v>
      </c>
      <c r="C41" s="416"/>
      <c r="D41" s="416"/>
      <c r="E41" s="416"/>
      <c r="F41" s="416"/>
      <c r="G41" s="416"/>
      <c r="H41" s="416"/>
      <c r="I41" s="416"/>
      <c r="J41" s="417" t="s">
        <v>203</v>
      </c>
      <c r="K41" s="417"/>
      <c r="L41" s="417"/>
      <c r="M41" s="417"/>
      <c r="N41" s="417"/>
      <c r="O41" s="101"/>
      <c r="P41" s="101"/>
      <c r="Q41" s="101"/>
      <c r="R41" s="101"/>
      <c r="S41" s="101"/>
      <c r="T41" s="101"/>
      <c r="U41" s="101"/>
      <c r="V41" s="101"/>
      <c r="W41" s="101"/>
    </row>
    <row r="42" spans="1:23" s="102" customFormat="1" ht="15" customHeight="1" x14ac:dyDescent="0.3">
      <c r="A42" s="101"/>
      <c r="B42" s="418" t="s">
        <v>204</v>
      </c>
      <c r="C42" s="418"/>
      <c r="D42" s="418"/>
      <c r="E42" s="418"/>
      <c r="F42" s="418"/>
      <c r="G42" s="418"/>
      <c r="H42" s="418"/>
      <c r="I42" s="418"/>
      <c r="J42" s="419" t="s">
        <v>205</v>
      </c>
      <c r="K42" s="419"/>
      <c r="L42" s="419"/>
      <c r="M42" s="419"/>
      <c r="N42" s="419"/>
      <c r="O42" s="101"/>
      <c r="P42" s="101"/>
      <c r="Q42" s="101"/>
      <c r="R42" s="101"/>
      <c r="S42" s="101"/>
      <c r="T42" s="101"/>
      <c r="U42" s="101"/>
      <c r="V42" s="101"/>
      <c r="W42" s="101"/>
    </row>
    <row r="43" spans="1:23" s="102" customFormat="1" ht="15" customHeight="1" x14ac:dyDescent="0.3">
      <c r="A43" s="101"/>
      <c r="B43" s="416" t="s">
        <v>206</v>
      </c>
      <c r="C43" s="416"/>
      <c r="D43" s="416"/>
      <c r="E43" s="416"/>
      <c r="F43" s="416"/>
      <c r="G43" s="416"/>
      <c r="H43" s="416"/>
      <c r="I43" s="416"/>
      <c r="J43" s="417" t="s">
        <v>207</v>
      </c>
      <c r="K43" s="417"/>
      <c r="L43" s="417"/>
      <c r="M43" s="417"/>
      <c r="N43" s="417"/>
      <c r="O43" s="101"/>
      <c r="P43" s="101"/>
      <c r="Q43" s="101"/>
      <c r="R43" s="101"/>
      <c r="S43" s="101"/>
      <c r="T43" s="101"/>
      <c r="U43" s="101"/>
      <c r="V43" s="101"/>
      <c r="W43" s="101"/>
    </row>
    <row r="44" spans="1:23" s="102" customFormat="1" ht="15" customHeight="1" x14ac:dyDescent="0.3">
      <c r="A44" s="101"/>
      <c r="B44" s="418" t="s">
        <v>208</v>
      </c>
      <c r="C44" s="418"/>
      <c r="D44" s="418"/>
      <c r="E44" s="418"/>
      <c r="F44" s="418"/>
      <c r="G44" s="418"/>
      <c r="H44" s="418"/>
      <c r="I44" s="418"/>
      <c r="J44" s="419" t="s">
        <v>209</v>
      </c>
      <c r="K44" s="419"/>
      <c r="L44" s="419"/>
      <c r="M44" s="419"/>
      <c r="N44" s="419"/>
      <c r="O44" s="101"/>
      <c r="P44" s="101"/>
      <c r="Q44" s="101"/>
      <c r="R44" s="101"/>
      <c r="S44" s="101"/>
      <c r="T44" s="101"/>
      <c r="U44" s="101"/>
      <c r="V44" s="101"/>
      <c r="W44" s="101"/>
    </row>
    <row r="45" spans="1:23" s="102" customFormat="1" ht="15" customHeight="1" x14ac:dyDescent="0.3">
      <c r="A45" s="101"/>
      <c r="B45" s="416" t="s">
        <v>210</v>
      </c>
      <c r="C45" s="416"/>
      <c r="D45" s="416"/>
      <c r="E45" s="416"/>
      <c r="F45" s="416"/>
      <c r="G45" s="416"/>
      <c r="H45" s="416"/>
      <c r="I45" s="416"/>
      <c r="J45" s="417" t="s">
        <v>211</v>
      </c>
      <c r="K45" s="417"/>
      <c r="L45" s="417"/>
      <c r="M45" s="417"/>
      <c r="N45" s="417"/>
      <c r="O45" s="101"/>
      <c r="P45" s="101"/>
      <c r="Q45" s="101"/>
      <c r="R45" s="101"/>
      <c r="S45" s="101"/>
      <c r="T45" s="101"/>
      <c r="U45" s="101"/>
      <c r="V45" s="101"/>
      <c r="W45" s="101"/>
    </row>
    <row r="46" spans="1:23" s="102" customFormat="1" ht="15" customHeight="1" x14ac:dyDescent="0.3">
      <c r="A46" s="101"/>
      <c r="B46" s="418" t="s">
        <v>212</v>
      </c>
      <c r="C46" s="418"/>
      <c r="D46" s="418"/>
      <c r="E46" s="418"/>
      <c r="F46" s="418"/>
      <c r="G46" s="418"/>
      <c r="H46" s="418"/>
      <c r="I46" s="418"/>
      <c r="J46" s="419" t="s">
        <v>212</v>
      </c>
      <c r="K46" s="419"/>
      <c r="L46" s="419"/>
      <c r="M46" s="419"/>
      <c r="N46" s="419"/>
      <c r="O46" s="101"/>
      <c r="P46" s="101"/>
      <c r="Q46" s="101"/>
      <c r="R46" s="101"/>
      <c r="S46" s="101"/>
      <c r="T46" s="101"/>
      <c r="U46" s="101"/>
      <c r="V46" s="101"/>
      <c r="W46" s="101"/>
    </row>
    <row r="47" spans="1:23" s="102" customFormat="1" ht="15" customHeight="1" x14ac:dyDescent="0.3">
      <c r="A47" s="101"/>
      <c r="B47" s="416" t="s">
        <v>213</v>
      </c>
      <c r="C47" s="416"/>
      <c r="D47" s="416"/>
      <c r="E47" s="416"/>
      <c r="F47" s="416"/>
      <c r="G47" s="416"/>
      <c r="H47" s="416"/>
      <c r="I47" s="416"/>
      <c r="J47" s="417" t="s">
        <v>214</v>
      </c>
      <c r="K47" s="417"/>
      <c r="L47" s="417"/>
      <c r="M47" s="417"/>
      <c r="N47" s="417"/>
      <c r="O47" s="101"/>
      <c r="P47" s="101"/>
      <c r="Q47" s="101"/>
      <c r="R47" s="101"/>
      <c r="S47" s="101"/>
      <c r="T47" s="101"/>
      <c r="U47" s="101"/>
      <c r="V47" s="101"/>
      <c r="W47" s="101"/>
    </row>
    <row r="48" spans="1:23" s="102" customFormat="1" ht="15" customHeight="1" x14ac:dyDescent="0.3">
      <c r="A48" s="101"/>
      <c r="B48" s="418" t="s">
        <v>215</v>
      </c>
      <c r="C48" s="418"/>
      <c r="D48" s="418"/>
      <c r="E48" s="418"/>
      <c r="F48" s="418"/>
      <c r="G48" s="418"/>
      <c r="H48" s="418"/>
      <c r="I48" s="418"/>
      <c r="J48" s="419" t="s">
        <v>216</v>
      </c>
      <c r="K48" s="419"/>
      <c r="L48" s="419"/>
      <c r="M48" s="419"/>
      <c r="N48" s="419"/>
      <c r="O48" s="101"/>
      <c r="P48" s="101"/>
      <c r="Q48" s="101"/>
      <c r="R48" s="101"/>
      <c r="S48" s="101"/>
      <c r="T48" s="101"/>
      <c r="U48" s="101"/>
      <c r="V48" s="101"/>
      <c r="W48" s="101"/>
    </row>
    <row r="49" spans="1:23" s="102" customFormat="1" ht="15" customHeight="1" x14ac:dyDescent="0.3">
      <c r="A49" s="101"/>
      <c r="B49" s="416" t="s">
        <v>217</v>
      </c>
      <c r="C49" s="416"/>
      <c r="D49" s="416"/>
      <c r="E49" s="416"/>
      <c r="F49" s="416"/>
      <c r="G49" s="416"/>
      <c r="H49" s="416"/>
      <c r="I49" s="416"/>
      <c r="J49" s="417" t="s">
        <v>218</v>
      </c>
      <c r="K49" s="417"/>
      <c r="L49" s="417"/>
      <c r="M49" s="417"/>
      <c r="N49" s="417"/>
      <c r="O49" s="101"/>
      <c r="P49" s="101"/>
      <c r="Q49" s="101"/>
      <c r="R49" s="101"/>
      <c r="S49" s="101"/>
      <c r="T49" s="101"/>
      <c r="U49" s="101"/>
      <c r="V49" s="101"/>
      <c r="W49" s="101"/>
    </row>
    <row r="50" spans="1:23" s="102" customFormat="1" ht="15" customHeight="1" x14ac:dyDescent="0.3">
      <c r="A50" s="101"/>
      <c r="B50" s="418" t="s">
        <v>219</v>
      </c>
      <c r="C50" s="418"/>
      <c r="D50" s="418"/>
      <c r="E50" s="418"/>
      <c r="F50" s="418"/>
      <c r="G50" s="418"/>
      <c r="H50" s="418"/>
      <c r="I50" s="418"/>
      <c r="J50" s="419" t="s">
        <v>220</v>
      </c>
      <c r="K50" s="419"/>
      <c r="L50" s="419"/>
      <c r="M50" s="419"/>
      <c r="N50" s="419"/>
      <c r="O50" s="101"/>
      <c r="P50" s="101"/>
      <c r="Q50" s="101"/>
      <c r="R50" s="101"/>
      <c r="S50" s="101"/>
      <c r="T50" s="101"/>
      <c r="U50" s="101"/>
      <c r="V50" s="101"/>
      <c r="W50" s="101"/>
    </row>
    <row r="51" spans="1:23" s="102" customFormat="1" ht="15" customHeight="1" x14ac:dyDescent="0.3">
      <c r="A51" s="101"/>
      <c r="B51" s="416" t="s">
        <v>221</v>
      </c>
      <c r="C51" s="416"/>
      <c r="D51" s="416"/>
      <c r="E51" s="416"/>
      <c r="F51" s="416"/>
      <c r="G51" s="416"/>
      <c r="H51" s="416"/>
      <c r="I51" s="416"/>
      <c r="J51" s="417" t="s">
        <v>222</v>
      </c>
      <c r="K51" s="417"/>
      <c r="L51" s="417"/>
      <c r="M51" s="417"/>
      <c r="N51" s="417"/>
      <c r="O51" s="101"/>
      <c r="P51" s="101"/>
      <c r="Q51" s="101"/>
      <c r="R51" s="101"/>
      <c r="S51" s="101"/>
      <c r="T51" s="101"/>
      <c r="U51" s="101"/>
      <c r="V51" s="101"/>
      <c r="W51" s="101"/>
    </row>
    <row r="52" spans="1:23" s="102" customFormat="1" ht="15" customHeight="1" x14ac:dyDescent="0.3">
      <c r="A52" s="101"/>
      <c r="B52" s="418" t="s">
        <v>223</v>
      </c>
      <c r="C52" s="418"/>
      <c r="D52" s="418"/>
      <c r="E52" s="418"/>
      <c r="F52" s="418"/>
      <c r="G52" s="418"/>
      <c r="H52" s="418"/>
      <c r="I52" s="418"/>
      <c r="J52" s="419" t="s">
        <v>224</v>
      </c>
      <c r="K52" s="419"/>
      <c r="L52" s="419"/>
      <c r="M52" s="419"/>
      <c r="N52" s="419"/>
      <c r="O52" s="101"/>
      <c r="P52" s="101"/>
      <c r="Q52" s="101"/>
      <c r="R52" s="101"/>
      <c r="S52" s="101"/>
      <c r="T52" s="101"/>
      <c r="U52" s="101"/>
      <c r="V52" s="101"/>
      <c r="W52" s="101"/>
    </row>
    <row r="53" spans="1:23" s="102" customFormat="1" ht="15" customHeight="1" x14ac:dyDescent="0.3">
      <c r="A53" s="101"/>
      <c r="B53" s="416" t="s">
        <v>225</v>
      </c>
      <c r="C53" s="416"/>
      <c r="D53" s="416"/>
      <c r="E53" s="416"/>
      <c r="F53" s="416"/>
      <c r="G53" s="416"/>
      <c r="H53" s="416"/>
      <c r="I53" s="416"/>
      <c r="J53" s="417" t="s">
        <v>226</v>
      </c>
      <c r="K53" s="417"/>
      <c r="L53" s="417"/>
      <c r="M53" s="417"/>
      <c r="N53" s="417"/>
      <c r="O53" s="101"/>
      <c r="P53" s="101"/>
      <c r="Q53" s="101"/>
      <c r="R53" s="101"/>
      <c r="S53" s="101"/>
      <c r="T53" s="101"/>
      <c r="U53" s="101"/>
      <c r="V53" s="101"/>
      <c r="W53" s="101"/>
    </row>
    <row r="54" spans="1:23" s="102" customFormat="1" ht="15" customHeight="1" x14ac:dyDescent="0.3">
      <c r="A54" s="101"/>
      <c r="B54" s="418" t="s">
        <v>227</v>
      </c>
      <c r="C54" s="418"/>
      <c r="D54" s="418"/>
      <c r="E54" s="418"/>
      <c r="F54" s="418"/>
      <c r="G54" s="418"/>
      <c r="H54" s="418"/>
      <c r="I54" s="418"/>
      <c r="J54" s="419" t="s">
        <v>228</v>
      </c>
      <c r="K54" s="419"/>
      <c r="L54" s="419"/>
      <c r="M54" s="419"/>
      <c r="N54" s="419"/>
      <c r="O54" s="101"/>
      <c r="P54" s="101"/>
      <c r="Q54" s="101"/>
      <c r="R54" s="101"/>
      <c r="S54" s="101"/>
      <c r="T54" s="101"/>
      <c r="U54" s="101"/>
      <c r="V54" s="101"/>
      <c r="W54" s="101"/>
    </row>
    <row r="55" spans="1:23" s="102" customFormat="1" ht="15" customHeight="1" x14ac:dyDescent="0.3">
      <c r="A55" s="101"/>
      <c r="B55" s="416" t="s">
        <v>229</v>
      </c>
      <c r="C55" s="416"/>
      <c r="D55" s="416"/>
      <c r="E55" s="416"/>
      <c r="F55" s="416"/>
      <c r="G55" s="416"/>
      <c r="H55" s="416"/>
      <c r="I55" s="416"/>
      <c r="J55" s="417" t="s">
        <v>230</v>
      </c>
      <c r="K55" s="417"/>
      <c r="L55" s="417"/>
      <c r="M55" s="417"/>
      <c r="N55" s="417"/>
      <c r="O55" s="101"/>
      <c r="P55" s="101"/>
      <c r="Q55" s="101"/>
      <c r="R55" s="101"/>
      <c r="S55" s="101"/>
      <c r="T55" s="101"/>
      <c r="U55" s="101"/>
      <c r="V55" s="101"/>
      <c r="W55" s="101"/>
    </row>
    <row r="56" spans="1:23" s="102" customFormat="1" ht="15" customHeight="1" x14ac:dyDescent="0.3">
      <c r="A56" s="101"/>
      <c r="B56" s="418" t="s">
        <v>231</v>
      </c>
      <c r="C56" s="418"/>
      <c r="D56" s="418"/>
      <c r="E56" s="418"/>
      <c r="F56" s="418"/>
      <c r="G56" s="418"/>
      <c r="H56" s="418"/>
      <c r="I56" s="418"/>
      <c r="J56" s="419" t="s">
        <v>232</v>
      </c>
      <c r="K56" s="419"/>
      <c r="L56" s="419"/>
      <c r="M56" s="419"/>
      <c r="N56" s="419"/>
      <c r="O56" s="101"/>
      <c r="P56" s="101"/>
      <c r="Q56" s="101"/>
      <c r="R56" s="101"/>
      <c r="S56" s="101"/>
      <c r="T56" s="101"/>
      <c r="U56" s="101"/>
      <c r="V56" s="101"/>
      <c r="W56" s="101"/>
    </row>
    <row r="57" spans="1:23" s="102" customFormat="1" ht="15" customHeight="1" x14ac:dyDescent="0.3">
      <c r="A57" s="101"/>
      <c r="B57" s="416" t="s">
        <v>233</v>
      </c>
      <c r="C57" s="416"/>
      <c r="D57" s="416"/>
      <c r="E57" s="416"/>
      <c r="F57" s="416"/>
      <c r="G57" s="416"/>
      <c r="H57" s="416"/>
      <c r="I57" s="416"/>
      <c r="J57" s="417" t="s">
        <v>234</v>
      </c>
      <c r="K57" s="417"/>
      <c r="L57" s="417"/>
      <c r="M57" s="417"/>
      <c r="N57" s="417"/>
      <c r="O57" s="101"/>
      <c r="P57" s="101"/>
      <c r="Q57" s="101"/>
      <c r="R57" s="101"/>
      <c r="S57" s="101"/>
      <c r="T57" s="101"/>
      <c r="U57" s="101"/>
      <c r="V57" s="101"/>
      <c r="W57" s="101"/>
    </row>
    <row r="58" spans="1:23" s="102" customFormat="1" ht="15" customHeight="1" x14ac:dyDescent="0.3">
      <c r="A58" s="101"/>
      <c r="B58" s="418" t="s">
        <v>235</v>
      </c>
      <c r="C58" s="418"/>
      <c r="D58" s="418"/>
      <c r="E58" s="418"/>
      <c r="F58" s="418"/>
      <c r="G58" s="418"/>
      <c r="H58" s="418"/>
      <c r="I58" s="418"/>
      <c r="J58" s="419" t="s">
        <v>236</v>
      </c>
      <c r="K58" s="419"/>
      <c r="L58" s="419"/>
      <c r="M58" s="419"/>
      <c r="N58" s="419"/>
      <c r="O58" s="101"/>
      <c r="P58" s="101"/>
      <c r="Q58" s="101"/>
      <c r="R58" s="101"/>
      <c r="S58" s="101"/>
      <c r="T58" s="101"/>
      <c r="U58" s="101"/>
      <c r="V58" s="101"/>
      <c r="W58" s="101"/>
    </row>
    <row r="59" spans="1:23" s="102" customFormat="1" ht="15" customHeight="1" x14ac:dyDescent="0.3">
      <c r="A59" s="101"/>
      <c r="B59" s="416" t="s">
        <v>237</v>
      </c>
      <c r="C59" s="416"/>
      <c r="D59" s="416"/>
      <c r="E59" s="416"/>
      <c r="F59" s="416"/>
      <c r="G59" s="416"/>
      <c r="H59" s="416"/>
      <c r="I59" s="416"/>
      <c r="J59" s="417" t="s">
        <v>238</v>
      </c>
      <c r="K59" s="417"/>
      <c r="L59" s="417"/>
      <c r="M59" s="417"/>
      <c r="N59" s="417"/>
      <c r="O59" s="101"/>
      <c r="P59" s="101"/>
      <c r="Q59" s="101"/>
      <c r="R59" s="101"/>
      <c r="S59" s="101"/>
      <c r="T59" s="101"/>
      <c r="U59" s="101"/>
      <c r="V59" s="101"/>
      <c r="W59" s="101"/>
    </row>
    <row r="60" spans="1:23" s="102" customFormat="1" ht="15" customHeight="1" x14ac:dyDescent="0.3">
      <c r="A60" s="101"/>
      <c r="B60" s="418" t="s">
        <v>239</v>
      </c>
      <c r="C60" s="418"/>
      <c r="D60" s="418"/>
      <c r="E60" s="418"/>
      <c r="F60" s="418"/>
      <c r="G60" s="418"/>
      <c r="H60" s="418"/>
      <c r="I60" s="418"/>
      <c r="J60" s="419" t="s">
        <v>240</v>
      </c>
      <c r="K60" s="419"/>
      <c r="L60" s="419"/>
      <c r="M60" s="419"/>
      <c r="N60" s="419"/>
      <c r="O60" s="101"/>
      <c r="P60" s="101"/>
      <c r="Q60" s="101"/>
      <c r="R60" s="101"/>
      <c r="S60" s="101"/>
      <c r="T60" s="101"/>
      <c r="U60" s="101"/>
      <c r="V60" s="101"/>
      <c r="W60" s="101"/>
    </row>
    <row r="61" spans="1:23" s="102" customFormat="1" ht="15" customHeight="1" x14ac:dyDescent="0.3">
      <c r="A61" s="101"/>
      <c r="B61" s="416" t="s">
        <v>241</v>
      </c>
      <c r="C61" s="416"/>
      <c r="D61" s="416"/>
      <c r="E61" s="416"/>
      <c r="F61" s="416"/>
      <c r="G61" s="416"/>
      <c r="H61" s="416"/>
      <c r="I61" s="416"/>
      <c r="J61" s="417" t="s">
        <v>242</v>
      </c>
      <c r="K61" s="417"/>
      <c r="L61" s="417"/>
      <c r="M61" s="417"/>
      <c r="N61" s="417"/>
      <c r="O61" s="101"/>
      <c r="P61" s="101"/>
      <c r="Q61" s="101"/>
      <c r="R61" s="101"/>
      <c r="S61" s="101"/>
      <c r="T61" s="101"/>
      <c r="U61" s="101"/>
      <c r="V61" s="101"/>
      <c r="W61" s="101"/>
    </row>
    <row r="62" spans="1:23" s="102" customFormat="1" ht="15" customHeight="1" x14ac:dyDescent="0.3">
      <c r="A62" s="101"/>
      <c r="B62" s="418" t="s">
        <v>243</v>
      </c>
      <c r="C62" s="418"/>
      <c r="D62" s="418"/>
      <c r="E62" s="418"/>
      <c r="F62" s="418"/>
      <c r="G62" s="418"/>
      <c r="H62" s="418"/>
      <c r="I62" s="418"/>
      <c r="J62" s="419" t="s">
        <v>244</v>
      </c>
      <c r="K62" s="419"/>
      <c r="L62" s="419"/>
      <c r="M62" s="419"/>
      <c r="N62" s="419"/>
      <c r="O62" s="101"/>
      <c r="P62" s="101"/>
      <c r="Q62" s="101"/>
      <c r="R62" s="101"/>
      <c r="S62" s="101"/>
      <c r="T62" s="101"/>
      <c r="U62" s="101"/>
      <c r="V62" s="101"/>
      <c r="W62" s="101"/>
    </row>
    <row r="63" spans="1:23" s="102" customFormat="1" ht="15" customHeight="1" x14ac:dyDescent="0.3">
      <c r="A63" s="101"/>
      <c r="B63" s="416" t="s">
        <v>245</v>
      </c>
      <c r="C63" s="416"/>
      <c r="D63" s="416"/>
      <c r="E63" s="416"/>
      <c r="F63" s="416"/>
      <c r="G63" s="416"/>
      <c r="H63" s="416"/>
      <c r="I63" s="416"/>
      <c r="J63" s="417" t="s">
        <v>245</v>
      </c>
      <c r="K63" s="417"/>
      <c r="L63" s="417"/>
      <c r="M63" s="417"/>
      <c r="N63" s="417"/>
      <c r="O63" s="101"/>
      <c r="P63" s="101"/>
      <c r="Q63" s="101"/>
      <c r="R63" s="101"/>
      <c r="S63" s="101"/>
      <c r="T63" s="101"/>
      <c r="U63" s="101"/>
      <c r="V63" s="101"/>
      <c r="W63" s="101"/>
    </row>
    <row r="64" spans="1:23" s="102" customFormat="1" ht="15" customHeight="1" x14ac:dyDescent="0.3">
      <c r="A64" s="101"/>
      <c r="B64" s="418" t="s">
        <v>246</v>
      </c>
      <c r="C64" s="418"/>
      <c r="D64" s="418"/>
      <c r="E64" s="418"/>
      <c r="F64" s="418"/>
      <c r="G64" s="418"/>
      <c r="H64" s="418"/>
      <c r="I64" s="418"/>
      <c r="J64" s="419" t="s">
        <v>119</v>
      </c>
      <c r="K64" s="419"/>
      <c r="L64" s="419"/>
      <c r="M64" s="419"/>
      <c r="N64" s="419"/>
      <c r="O64" s="101"/>
      <c r="P64" s="101"/>
      <c r="Q64" s="101"/>
      <c r="R64" s="101"/>
      <c r="S64" s="101"/>
      <c r="T64" s="101"/>
      <c r="U64" s="101"/>
      <c r="V64" s="101"/>
      <c r="W64" s="101"/>
    </row>
    <row r="65" spans="1:23" s="102" customFormat="1" ht="15" customHeight="1" x14ac:dyDescent="0.3">
      <c r="A65" s="101"/>
      <c r="B65" s="416" t="s">
        <v>247</v>
      </c>
      <c r="C65" s="416"/>
      <c r="D65" s="416"/>
      <c r="E65" s="416"/>
      <c r="F65" s="416"/>
      <c r="G65" s="416"/>
      <c r="H65" s="416"/>
      <c r="I65" s="416"/>
      <c r="J65" s="417" t="s">
        <v>248</v>
      </c>
      <c r="K65" s="417"/>
      <c r="L65" s="417"/>
      <c r="M65" s="417"/>
      <c r="N65" s="417"/>
      <c r="O65" s="101"/>
      <c r="P65" s="101"/>
      <c r="Q65" s="101"/>
      <c r="R65" s="101"/>
      <c r="S65" s="101"/>
      <c r="T65" s="101"/>
      <c r="U65" s="101"/>
      <c r="V65" s="101"/>
      <c r="W65" s="101"/>
    </row>
    <row r="66" spans="1:23" s="102" customFormat="1" ht="15" customHeight="1" x14ac:dyDescent="0.3">
      <c r="A66" s="101"/>
      <c r="B66" s="418" t="s">
        <v>249</v>
      </c>
      <c r="C66" s="418"/>
      <c r="D66" s="418"/>
      <c r="E66" s="418"/>
      <c r="F66" s="418"/>
      <c r="G66" s="418"/>
      <c r="H66" s="418"/>
      <c r="I66" s="418"/>
      <c r="J66" s="419" t="s">
        <v>250</v>
      </c>
      <c r="K66" s="419"/>
      <c r="L66" s="419"/>
      <c r="M66" s="419"/>
      <c r="N66" s="419"/>
      <c r="O66" s="101"/>
      <c r="P66" s="101"/>
      <c r="Q66" s="101"/>
      <c r="R66" s="101"/>
      <c r="S66" s="101"/>
      <c r="T66" s="101"/>
      <c r="U66" s="101"/>
      <c r="V66" s="101"/>
      <c r="W66" s="101"/>
    </row>
    <row r="67" spans="1:23" s="102" customFormat="1" ht="15" customHeight="1" x14ac:dyDescent="0.3">
      <c r="A67" s="101"/>
      <c r="B67" s="416" t="s">
        <v>251</v>
      </c>
      <c r="C67" s="416"/>
      <c r="D67" s="416"/>
      <c r="E67" s="416"/>
      <c r="F67" s="416"/>
      <c r="G67" s="416"/>
      <c r="H67" s="416"/>
      <c r="I67" s="416"/>
      <c r="J67" s="417" t="s">
        <v>252</v>
      </c>
      <c r="K67" s="417"/>
      <c r="L67" s="417"/>
      <c r="M67" s="417"/>
      <c r="N67" s="417"/>
      <c r="O67" s="101"/>
      <c r="P67" s="101"/>
      <c r="Q67" s="101"/>
      <c r="R67" s="101"/>
      <c r="S67" s="101"/>
      <c r="T67" s="101"/>
      <c r="U67" s="101"/>
      <c r="V67" s="101"/>
      <c r="W67" s="101"/>
    </row>
    <row r="68" spans="1:23" s="102" customFormat="1" ht="15" customHeight="1" x14ac:dyDescent="0.3">
      <c r="A68" s="101"/>
      <c r="B68" s="418" t="s">
        <v>253</v>
      </c>
      <c r="C68" s="418"/>
      <c r="D68" s="418"/>
      <c r="E68" s="418"/>
      <c r="F68" s="418"/>
      <c r="G68" s="418"/>
      <c r="H68" s="418"/>
      <c r="I68" s="418"/>
      <c r="J68" s="419" t="s">
        <v>254</v>
      </c>
      <c r="K68" s="419"/>
      <c r="L68" s="419"/>
      <c r="M68" s="419"/>
      <c r="N68" s="419"/>
      <c r="O68" s="101"/>
      <c r="P68" s="101"/>
      <c r="Q68" s="101"/>
      <c r="R68" s="101"/>
      <c r="S68" s="101"/>
      <c r="T68" s="101"/>
      <c r="U68" s="101"/>
      <c r="V68" s="101"/>
      <c r="W68" s="101"/>
    </row>
    <row r="69" spans="1:23" s="102" customFormat="1" ht="15" customHeight="1" x14ac:dyDescent="0.3">
      <c r="A69" s="101"/>
      <c r="B69" s="416" t="s">
        <v>255</v>
      </c>
      <c r="C69" s="416"/>
      <c r="D69" s="416"/>
      <c r="E69" s="416"/>
      <c r="F69" s="416"/>
      <c r="G69" s="416"/>
      <c r="H69" s="416"/>
      <c r="I69" s="416"/>
      <c r="J69" s="417" t="s">
        <v>256</v>
      </c>
      <c r="K69" s="417"/>
      <c r="L69" s="417"/>
      <c r="M69" s="417"/>
      <c r="N69" s="417"/>
      <c r="O69" s="101"/>
      <c r="P69" s="101"/>
      <c r="Q69" s="101"/>
      <c r="R69" s="101"/>
      <c r="S69" s="101"/>
      <c r="T69" s="101"/>
      <c r="U69" s="101"/>
      <c r="V69" s="101"/>
      <c r="W69" s="101"/>
    </row>
    <row r="70" spans="1:23" s="102" customFormat="1" ht="15" customHeight="1" x14ac:dyDescent="0.3">
      <c r="A70" s="101"/>
      <c r="B70" s="418" t="s">
        <v>257</v>
      </c>
      <c r="C70" s="418"/>
      <c r="D70" s="418"/>
      <c r="E70" s="418"/>
      <c r="F70" s="418"/>
      <c r="G70" s="418"/>
      <c r="H70" s="418"/>
      <c r="I70" s="418"/>
      <c r="J70" s="419" t="s">
        <v>258</v>
      </c>
      <c r="K70" s="419"/>
      <c r="L70" s="419"/>
      <c r="M70" s="419"/>
      <c r="N70" s="419"/>
      <c r="O70" s="101"/>
      <c r="P70" s="101"/>
      <c r="Q70" s="101"/>
      <c r="R70" s="101"/>
      <c r="S70" s="101"/>
      <c r="T70" s="101"/>
      <c r="U70" s="101"/>
      <c r="V70" s="101"/>
      <c r="W70" s="101"/>
    </row>
    <row r="71" spans="1:23" s="102" customFormat="1" ht="15" customHeight="1" x14ac:dyDescent="0.3">
      <c r="A71" s="101"/>
      <c r="B71" s="416" t="s">
        <v>259</v>
      </c>
      <c r="C71" s="416"/>
      <c r="D71" s="416"/>
      <c r="E71" s="416"/>
      <c r="F71" s="416"/>
      <c r="G71" s="416"/>
      <c r="H71" s="416"/>
      <c r="I71" s="416"/>
      <c r="J71" s="417" t="s">
        <v>260</v>
      </c>
      <c r="K71" s="417"/>
      <c r="L71" s="417"/>
      <c r="M71" s="417"/>
      <c r="N71" s="417"/>
      <c r="O71" s="101"/>
      <c r="P71" s="101"/>
      <c r="Q71" s="101"/>
      <c r="R71" s="101"/>
      <c r="S71" s="101"/>
      <c r="T71" s="101"/>
      <c r="U71" s="101"/>
      <c r="V71" s="101"/>
      <c r="W71" s="101"/>
    </row>
    <row r="72" spans="1:23" s="102" customFormat="1" ht="15" customHeight="1" x14ac:dyDescent="0.3">
      <c r="A72" s="101"/>
      <c r="B72" s="418" t="s">
        <v>261</v>
      </c>
      <c r="C72" s="418"/>
      <c r="D72" s="418"/>
      <c r="E72" s="418"/>
      <c r="F72" s="418"/>
      <c r="G72" s="418"/>
      <c r="H72" s="418"/>
      <c r="I72" s="418"/>
      <c r="J72" s="419" t="s">
        <v>262</v>
      </c>
      <c r="K72" s="419"/>
      <c r="L72" s="419"/>
      <c r="M72" s="419"/>
      <c r="N72" s="419"/>
      <c r="O72" s="101"/>
      <c r="P72" s="101"/>
      <c r="Q72" s="101"/>
      <c r="R72" s="101"/>
      <c r="S72" s="101"/>
      <c r="T72" s="101"/>
      <c r="U72" s="101"/>
      <c r="V72" s="101"/>
      <c r="W72" s="101"/>
    </row>
    <row r="73" spans="1:23" s="102" customFormat="1" ht="15" customHeight="1" x14ac:dyDescent="0.3">
      <c r="A73" s="101"/>
      <c r="B73" s="416" t="s">
        <v>263</v>
      </c>
      <c r="C73" s="416"/>
      <c r="D73" s="416"/>
      <c r="E73" s="416"/>
      <c r="F73" s="416"/>
      <c r="G73" s="416"/>
      <c r="H73" s="416"/>
      <c r="I73" s="416"/>
      <c r="J73" s="417" t="s">
        <v>264</v>
      </c>
      <c r="K73" s="417"/>
      <c r="L73" s="417"/>
      <c r="M73" s="417"/>
      <c r="N73" s="417"/>
      <c r="O73" s="101"/>
      <c r="P73" s="101"/>
      <c r="Q73" s="101"/>
      <c r="R73" s="101"/>
      <c r="S73" s="101"/>
      <c r="T73" s="101"/>
      <c r="U73" s="101"/>
      <c r="V73" s="101"/>
      <c r="W73" s="101"/>
    </row>
    <row r="74" spans="1:23" s="102" customFormat="1" ht="15" customHeight="1" x14ac:dyDescent="0.3">
      <c r="A74" s="101"/>
      <c r="B74" s="418" t="s">
        <v>265</v>
      </c>
      <c r="C74" s="418"/>
      <c r="D74" s="418"/>
      <c r="E74" s="418"/>
      <c r="F74" s="418"/>
      <c r="G74" s="418"/>
      <c r="H74" s="418"/>
      <c r="I74" s="418"/>
      <c r="J74" s="419" t="s">
        <v>266</v>
      </c>
      <c r="K74" s="419"/>
      <c r="L74" s="419"/>
      <c r="M74" s="419"/>
      <c r="N74" s="419"/>
      <c r="O74" s="101"/>
      <c r="P74" s="101"/>
      <c r="Q74" s="101"/>
      <c r="R74" s="101"/>
      <c r="S74" s="101"/>
      <c r="T74" s="101"/>
      <c r="U74" s="101"/>
      <c r="V74" s="101"/>
      <c r="W74" s="101"/>
    </row>
    <row r="75" spans="1:23" s="102" customFormat="1" ht="15" customHeight="1" x14ac:dyDescent="0.3">
      <c r="A75" s="101"/>
      <c r="B75" s="416" t="s">
        <v>267</v>
      </c>
      <c r="C75" s="416"/>
      <c r="D75" s="416"/>
      <c r="E75" s="416"/>
      <c r="F75" s="416"/>
      <c r="G75" s="416"/>
      <c r="H75" s="416"/>
      <c r="I75" s="416"/>
      <c r="J75" s="417" t="s">
        <v>268</v>
      </c>
      <c r="K75" s="417"/>
      <c r="L75" s="417"/>
      <c r="M75" s="417"/>
      <c r="N75" s="417"/>
      <c r="O75" s="101"/>
      <c r="P75" s="101"/>
      <c r="Q75" s="101"/>
      <c r="R75" s="101"/>
      <c r="S75" s="101"/>
      <c r="T75" s="101"/>
      <c r="U75" s="101"/>
      <c r="V75" s="101"/>
      <c r="W75" s="101"/>
    </row>
    <row r="76" spans="1:23" s="102" customFormat="1" ht="15" customHeight="1" x14ac:dyDescent="0.3">
      <c r="A76" s="101"/>
      <c r="B76" s="418" t="s">
        <v>269</v>
      </c>
      <c r="C76" s="418"/>
      <c r="D76" s="418"/>
      <c r="E76" s="418"/>
      <c r="F76" s="418"/>
      <c r="G76" s="418"/>
      <c r="H76" s="418"/>
      <c r="I76" s="418"/>
      <c r="J76" s="419" t="s">
        <v>270</v>
      </c>
      <c r="K76" s="419"/>
      <c r="L76" s="419"/>
      <c r="M76" s="419"/>
      <c r="N76" s="419"/>
      <c r="O76" s="101"/>
      <c r="P76" s="101"/>
      <c r="Q76" s="101"/>
      <c r="R76" s="101"/>
      <c r="S76" s="101"/>
      <c r="T76" s="101"/>
      <c r="U76" s="101"/>
      <c r="V76" s="101"/>
      <c r="W76" s="101"/>
    </row>
    <row r="77" spans="1:23" s="102" customFormat="1" ht="15" customHeight="1" x14ac:dyDescent="0.3">
      <c r="A77" s="101"/>
      <c r="B77" s="416" t="s">
        <v>271</v>
      </c>
      <c r="C77" s="416"/>
      <c r="D77" s="416"/>
      <c r="E77" s="416"/>
      <c r="F77" s="416"/>
      <c r="G77" s="416"/>
      <c r="H77" s="416"/>
      <c r="I77" s="416"/>
      <c r="J77" s="417" t="s">
        <v>272</v>
      </c>
      <c r="K77" s="417"/>
      <c r="L77" s="417"/>
      <c r="M77" s="417"/>
      <c r="N77" s="417"/>
      <c r="O77" s="101"/>
      <c r="P77" s="101"/>
      <c r="Q77" s="101"/>
      <c r="R77" s="101"/>
      <c r="S77" s="101"/>
      <c r="T77" s="101"/>
      <c r="U77" s="101"/>
      <c r="V77" s="101"/>
      <c r="W77" s="101"/>
    </row>
    <row r="78" spans="1:23" s="102" customFormat="1" ht="15" customHeight="1" x14ac:dyDescent="0.3">
      <c r="A78" s="101"/>
      <c r="B78" s="416" t="s">
        <v>273</v>
      </c>
      <c r="C78" s="416"/>
      <c r="D78" s="416"/>
      <c r="E78" s="416"/>
      <c r="F78" s="416"/>
      <c r="G78" s="416"/>
      <c r="H78" s="416"/>
      <c r="I78" s="416"/>
      <c r="J78" s="417" t="s">
        <v>274</v>
      </c>
      <c r="K78" s="417"/>
      <c r="L78" s="417"/>
      <c r="M78" s="417"/>
      <c r="N78" s="417"/>
      <c r="O78" s="101"/>
      <c r="P78" s="101"/>
      <c r="Q78" s="101"/>
      <c r="R78" s="101"/>
      <c r="S78" s="101"/>
      <c r="T78" s="101"/>
      <c r="U78" s="101"/>
      <c r="V78" s="101"/>
      <c r="W78" s="101"/>
    </row>
    <row r="79" spans="1:23" s="102" customFormat="1" ht="15" customHeight="1" x14ac:dyDescent="0.3">
      <c r="A79" s="101"/>
      <c r="B79" s="416" t="s">
        <v>275</v>
      </c>
      <c r="C79" s="416"/>
      <c r="D79" s="416"/>
      <c r="E79" s="416"/>
      <c r="F79" s="416"/>
      <c r="G79" s="416"/>
      <c r="H79" s="416"/>
      <c r="I79" s="416"/>
      <c r="J79" s="417" t="s">
        <v>275</v>
      </c>
      <c r="K79" s="417"/>
      <c r="L79" s="417"/>
      <c r="M79" s="417"/>
      <c r="N79" s="417"/>
      <c r="O79" s="101"/>
      <c r="P79" s="101"/>
      <c r="Q79" s="101"/>
      <c r="R79" s="101"/>
      <c r="S79" s="101"/>
      <c r="T79" s="101"/>
      <c r="U79" s="101"/>
      <c r="V79" s="101"/>
      <c r="W79" s="101"/>
    </row>
    <row r="80" spans="1:23" ht="14.5" x14ac:dyDescent="0.35">
      <c r="A80" s="15"/>
      <c r="B80" s="15"/>
      <c r="C80" s="15"/>
      <c r="D80" s="92"/>
      <c r="E80" s="92"/>
      <c r="F80" s="15"/>
      <c r="G80" s="15"/>
      <c r="H80" s="15"/>
      <c r="I80" s="15"/>
      <c r="J80" s="15"/>
      <c r="K80" s="15"/>
      <c r="L80" s="15"/>
      <c r="M80" s="15"/>
      <c r="N80" s="15"/>
      <c r="O80" s="15"/>
      <c r="P80" s="15"/>
      <c r="Q80" s="15"/>
      <c r="R80" s="15"/>
      <c r="S80" s="15"/>
      <c r="T80" s="15"/>
      <c r="U80" s="15"/>
      <c r="V80" s="15"/>
      <c r="W80" s="15"/>
    </row>
    <row r="81" spans="1:23" ht="14.5" x14ac:dyDescent="0.35">
      <c r="A81" s="15"/>
      <c r="B81" s="15"/>
      <c r="C81" s="15"/>
      <c r="D81" s="92"/>
      <c r="E81" s="92"/>
      <c r="F81" s="15"/>
      <c r="G81" s="15"/>
      <c r="H81" s="15"/>
      <c r="I81" s="15"/>
      <c r="J81" s="15"/>
      <c r="K81" s="15"/>
      <c r="L81" s="15"/>
      <c r="M81" s="15"/>
      <c r="N81" s="15"/>
      <c r="O81" s="15"/>
      <c r="P81" s="15"/>
      <c r="Q81" s="15"/>
      <c r="R81" s="15"/>
      <c r="S81" s="15"/>
      <c r="T81" s="15"/>
      <c r="U81" s="15"/>
      <c r="V81" s="15"/>
      <c r="W81" s="15"/>
    </row>
    <row r="82" spans="1:23" ht="14.5" x14ac:dyDescent="0.35">
      <c r="A82" s="15"/>
      <c r="B82" s="15"/>
      <c r="C82" s="15"/>
      <c r="D82" s="92"/>
      <c r="E82" s="92"/>
      <c r="F82" s="15"/>
      <c r="G82" s="15"/>
      <c r="H82" s="15"/>
      <c r="I82" s="15"/>
      <c r="J82" s="15"/>
      <c r="K82" s="15"/>
      <c r="L82" s="15"/>
      <c r="M82" s="15"/>
      <c r="N82" s="15"/>
      <c r="O82" s="15"/>
      <c r="P82" s="15"/>
      <c r="Q82" s="15"/>
      <c r="R82" s="15"/>
      <c r="S82" s="15"/>
      <c r="T82" s="15"/>
      <c r="U82" s="15"/>
      <c r="V82" s="15"/>
      <c r="W82" s="15"/>
    </row>
    <row r="83" spans="1:23" ht="14.5" x14ac:dyDescent="0.35">
      <c r="A83" s="15"/>
      <c r="B83" s="15"/>
      <c r="C83" s="15"/>
      <c r="D83" s="92"/>
      <c r="E83" s="92"/>
      <c r="F83" s="15"/>
      <c r="G83" s="15"/>
      <c r="H83" s="15"/>
      <c r="I83" s="15"/>
      <c r="J83" s="15"/>
      <c r="K83" s="15"/>
      <c r="L83" s="15"/>
      <c r="M83" s="15"/>
      <c r="N83" s="15"/>
      <c r="O83" s="15"/>
      <c r="P83" s="15"/>
      <c r="Q83" s="15"/>
      <c r="R83" s="15"/>
      <c r="S83" s="15"/>
      <c r="T83" s="15"/>
      <c r="U83" s="15"/>
      <c r="V83" s="15"/>
      <c r="W83" s="15"/>
    </row>
    <row r="84" spans="1:23" ht="14.5" x14ac:dyDescent="0.35">
      <c r="A84" s="15"/>
      <c r="B84" s="15"/>
      <c r="C84" s="15"/>
      <c r="D84" s="92"/>
      <c r="E84" s="92"/>
      <c r="F84" s="15"/>
      <c r="G84" s="15"/>
      <c r="H84" s="15"/>
      <c r="I84" s="15"/>
      <c r="J84" s="15"/>
      <c r="K84" s="15"/>
      <c r="L84" s="15"/>
      <c r="M84" s="15"/>
      <c r="N84" s="15"/>
      <c r="O84" s="15"/>
      <c r="P84" s="15"/>
      <c r="Q84" s="15"/>
      <c r="R84" s="15"/>
      <c r="S84" s="15"/>
      <c r="T84" s="15"/>
      <c r="U84" s="15"/>
      <c r="V84" s="15"/>
      <c r="W84" s="15"/>
    </row>
    <row r="85" spans="1:23" ht="14.5" x14ac:dyDescent="0.35">
      <c r="A85" s="15"/>
      <c r="B85" s="15"/>
      <c r="C85" s="15"/>
      <c r="D85" s="92"/>
      <c r="E85" s="92"/>
      <c r="F85" s="15"/>
      <c r="G85" s="15"/>
      <c r="H85" s="15"/>
      <c r="I85" s="15"/>
      <c r="J85" s="15"/>
      <c r="K85" s="15"/>
      <c r="L85" s="15"/>
      <c r="M85" s="15"/>
      <c r="N85" s="15"/>
      <c r="O85" s="15"/>
      <c r="P85" s="15"/>
      <c r="Q85" s="15"/>
      <c r="R85" s="15"/>
      <c r="S85" s="15"/>
      <c r="T85" s="15"/>
      <c r="U85" s="15"/>
      <c r="V85" s="15"/>
      <c r="W85" s="15"/>
    </row>
    <row r="86" spans="1:23" ht="14.5" x14ac:dyDescent="0.35">
      <c r="A86" s="15"/>
      <c r="B86" s="15"/>
      <c r="C86" s="15"/>
      <c r="D86" s="92"/>
      <c r="E86" s="92"/>
      <c r="F86" s="15"/>
      <c r="G86" s="15"/>
      <c r="H86" s="15"/>
      <c r="I86" s="15"/>
      <c r="J86" s="15"/>
      <c r="K86" s="15"/>
      <c r="L86" s="15"/>
      <c r="M86" s="15"/>
      <c r="N86" s="15"/>
      <c r="O86" s="15"/>
      <c r="P86" s="15"/>
      <c r="Q86" s="15"/>
      <c r="R86" s="15"/>
      <c r="S86" s="15"/>
      <c r="T86" s="15"/>
      <c r="U86" s="15"/>
      <c r="V86" s="15"/>
      <c r="W86" s="15"/>
    </row>
    <row r="87" spans="1:23" ht="14.5" x14ac:dyDescent="0.35">
      <c r="A87" s="15"/>
      <c r="B87" s="15"/>
      <c r="C87" s="15"/>
      <c r="D87" s="92"/>
      <c r="E87" s="92"/>
      <c r="F87" s="15"/>
      <c r="G87" s="15"/>
      <c r="H87" s="15"/>
      <c r="I87" s="15"/>
      <c r="J87" s="15"/>
      <c r="K87" s="15"/>
      <c r="L87" s="15"/>
      <c r="M87" s="15"/>
      <c r="N87" s="15"/>
      <c r="O87" s="15"/>
      <c r="P87" s="15"/>
      <c r="Q87" s="15"/>
      <c r="R87" s="15"/>
      <c r="S87" s="15"/>
      <c r="T87" s="15"/>
      <c r="U87" s="15"/>
      <c r="V87" s="15"/>
      <c r="W87" s="15"/>
    </row>
    <row r="88" spans="1:23" ht="14.5" x14ac:dyDescent="0.35">
      <c r="A88" s="15"/>
      <c r="B88" s="15"/>
      <c r="C88" s="15"/>
      <c r="D88" s="92"/>
      <c r="E88" s="92"/>
      <c r="F88" s="15"/>
      <c r="G88" s="15"/>
      <c r="H88" s="15"/>
      <c r="I88" s="15"/>
      <c r="J88" s="15"/>
      <c r="K88" s="15"/>
      <c r="L88" s="15"/>
      <c r="M88" s="15"/>
      <c r="N88" s="15"/>
      <c r="O88" s="15"/>
      <c r="P88" s="15"/>
      <c r="Q88" s="15"/>
      <c r="R88" s="15"/>
      <c r="S88" s="15"/>
      <c r="T88" s="15"/>
      <c r="U88" s="15"/>
      <c r="V88" s="15"/>
      <c r="W88" s="15"/>
    </row>
    <row r="89" spans="1:23" ht="14.5" x14ac:dyDescent="0.35">
      <c r="D89"/>
      <c r="E89"/>
    </row>
    <row r="90" spans="1:23" ht="14.5" x14ac:dyDescent="0.35">
      <c r="D90"/>
      <c r="E90"/>
    </row>
    <row r="91" spans="1:23" ht="14.5" x14ac:dyDescent="0.35">
      <c r="D91"/>
      <c r="E91"/>
    </row>
    <row r="92" spans="1:23" ht="14.5" x14ac:dyDescent="0.35">
      <c r="D92"/>
      <c r="E92"/>
    </row>
    <row r="93" spans="1:23" ht="14.5" x14ac:dyDescent="0.35">
      <c r="D93"/>
      <c r="E93"/>
    </row>
    <row r="94" spans="1:23" ht="14.5" x14ac:dyDescent="0.35">
      <c r="D94"/>
      <c r="E94"/>
    </row>
    <row r="95" spans="1:23" ht="14.5" x14ac:dyDescent="0.35">
      <c r="D95"/>
      <c r="E95"/>
    </row>
    <row r="96" spans="1:23" ht="14.5" x14ac:dyDescent="0.35">
      <c r="D96"/>
      <c r="E96"/>
    </row>
    <row r="97" spans="4:5" ht="14.5" x14ac:dyDescent="0.35">
      <c r="D97"/>
      <c r="E97"/>
    </row>
    <row r="98" spans="4:5" ht="14.5" x14ac:dyDescent="0.35">
      <c r="D98"/>
      <c r="E98"/>
    </row>
    <row r="99" spans="4:5" ht="14.5" x14ac:dyDescent="0.35">
      <c r="D99"/>
      <c r="E99"/>
    </row>
    <row r="100" spans="4:5" ht="14.5" x14ac:dyDescent="0.35">
      <c r="D100"/>
      <c r="E100"/>
    </row>
    <row r="101" spans="4:5" ht="14.5" x14ac:dyDescent="0.35">
      <c r="D101"/>
      <c r="E101"/>
    </row>
    <row r="102" spans="4:5" ht="14.5" x14ac:dyDescent="0.35">
      <c r="D102"/>
      <c r="E102"/>
    </row>
    <row r="103" spans="4:5" ht="14.5" x14ac:dyDescent="0.35">
      <c r="D103"/>
      <c r="E103"/>
    </row>
    <row r="104" spans="4:5" ht="14.5" x14ac:dyDescent="0.35">
      <c r="D104"/>
      <c r="E104"/>
    </row>
    <row r="105" spans="4:5" ht="14.5" x14ac:dyDescent="0.35">
      <c r="D105"/>
      <c r="E105"/>
    </row>
    <row r="106" spans="4:5" ht="14.5" x14ac:dyDescent="0.35">
      <c r="D106"/>
      <c r="E106"/>
    </row>
    <row r="107" spans="4:5" ht="14.5" x14ac:dyDescent="0.35">
      <c r="D107"/>
      <c r="E107"/>
    </row>
    <row r="108" spans="4:5" ht="14.5" x14ac:dyDescent="0.35">
      <c r="D108"/>
      <c r="E108"/>
    </row>
    <row r="109" spans="4:5" ht="14.5" x14ac:dyDescent="0.35">
      <c r="D109"/>
      <c r="E109"/>
    </row>
    <row r="110" spans="4:5" ht="14.5" x14ac:dyDescent="0.35">
      <c r="D110"/>
      <c r="E110"/>
    </row>
    <row r="111" spans="4:5" ht="14.5" x14ac:dyDescent="0.35">
      <c r="D111"/>
      <c r="E111"/>
    </row>
    <row r="112" spans="4:5" ht="14.5" x14ac:dyDescent="0.35">
      <c r="D112"/>
      <c r="E112"/>
    </row>
    <row r="113" spans="4:5" ht="14.5" x14ac:dyDescent="0.35">
      <c r="D113"/>
      <c r="E113"/>
    </row>
    <row r="114" spans="4:5" ht="14.5" x14ac:dyDescent="0.35">
      <c r="D114"/>
      <c r="E114"/>
    </row>
    <row r="115" spans="4:5" ht="14.5" x14ac:dyDescent="0.35">
      <c r="D115"/>
      <c r="E115"/>
    </row>
    <row r="116" spans="4:5" ht="14.5" x14ac:dyDescent="0.35">
      <c r="D116"/>
      <c r="E116"/>
    </row>
    <row r="117" spans="4:5" ht="14.5" x14ac:dyDescent="0.35">
      <c r="D117"/>
      <c r="E117"/>
    </row>
    <row r="118" spans="4:5" ht="14.5" x14ac:dyDescent="0.35">
      <c r="D118"/>
      <c r="E118"/>
    </row>
    <row r="119" spans="4:5" ht="14.5" x14ac:dyDescent="0.35">
      <c r="D119"/>
      <c r="E119"/>
    </row>
    <row r="120" spans="4:5" ht="14.5" x14ac:dyDescent="0.35">
      <c r="D120"/>
      <c r="E120"/>
    </row>
    <row r="121" spans="4:5" ht="14.5" x14ac:dyDescent="0.35">
      <c r="D121"/>
      <c r="E121"/>
    </row>
    <row r="122" spans="4:5" ht="14.5" x14ac:dyDescent="0.35">
      <c r="D122"/>
      <c r="E122"/>
    </row>
    <row r="123" spans="4:5" ht="14.5" x14ac:dyDescent="0.35">
      <c r="D123"/>
      <c r="E123"/>
    </row>
    <row r="124" spans="4:5" ht="14.5" x14ac:dyDescent="0.35">
      <c r="D124"/>
      <c r="E124"/>
    </row>
    <row r="125" spans="4:5" ht="14.5" x14ac:dyDescent="0.35">
      <c r="D125"/>
      <c r="E125"/>
    </row>
    <row r="126" spans="4:5" ht="14.5" x14ac:dyDescent="0.35">
      <c r="D126"/>
      <c r="E126"/>
    </row>
    <row r="127" spans="4:5" ht="14.5" x14ac:dyDescent="0.35">
      <c r="D127"/>
      <c r="E127"/>
    </row>
    <row r="128" spans="4:5" ht="14.5" x14ac:dyDescent="0.35">
      <c r="D128"/>
      <c r="E128"/>
    </row>
    <row r="129" spans="4:5" ht="14.5" x14ac:dyDescent="0.35">
      <c r="D129"/>
      <c r="E129"/>
    </row>
    <row r="130" spans="4:5" ht="14.5" x14ac:dyDescent="0.35">
      <c r="D130"/>
      <c r="E130"/>
    </row>
    <row r="131" spans="4:5" ht="14.5" x14ac:dyDescent="0.35">
      <c r="D131"/>
      <c r="E131"/>
    </row>
    <row r="132" spans="4:5" ht="14.5" x14ac:dyDescent="0.35">
      <c r="D132"/>
      <c r="E132"/>
    </row>
    <row r="133" spans="4:5" ht="14.5" x14ac:dyDescent="0.35">
      <c r="D133"/>
      <c r="E133"/>
    </row>
    <row r="134" spans="4:5" ht="14.5" x14ac:dyDescent="0.35">
      <c r="D134"/>
      <c r="E134"/>
    </row>
    <row r="135" spans="4:5" ht="14.5" x14ac:dyDescent="0.35">
      <c r="D135"/>
      <c r="E135"/>
    </row>
    <row r="136" spans="4:5" ht="14.5" x14ac:dyDescent="0.35">
      <c r="D136"/>
      <c r="E136"/>
    </row>
    <row r="137" spans="4:5" ht="14.5" x14ac:dyDescent="0.35">
      <c r="D137"/>
      <c r="E137"/>
    </row>
    <row r="138" spans="4:5" ht="14.5" x14ac:dyDescent="0.35">
      <c r="D138"/>
      <c r="E138"/>
    </row>
    <row r="139" spans="4:5" ht="14.5" x14ac:dyDescent="0.35">
      <c r="D139"/>
      <c r="E139"/>
    </row>
    <row r="140" spans="4:5" ht="14.5" x14ac:dyDescent="0.35">
      <c r="D140"/>
      <c r="E140"/>
    </row>
    <row r="141" spans="4:5" ht="14.5" x14ac:dyDescent="0.35">
      <c r="D141"/>
      <c r="E141"/>
    </row>
    <row r="142" spans="4:5" ht="14.5" x14ac:dyDescent="0.35">
      <c r="D142"/>
      <c r="E142"/>
    </row>
    <row r="143" spans="4:5" ht="14.5" x14ac:dyDescent="0.35">
      <c r="D143"/>
      <c r="E143"/>
    </row>
    <row r="144" spans="4:5" ht="14.5" x14ac:dyDescent="0.35">
      <c r="D144"/>
      <c r="E144"/>
    </row>
    <row r="145" spans="4:5" ht="14.5" x14ac:dyDescent="0.35">
      <c r="D145"/>
      <c r="E145"/>
    </row>
    <row r="146" spans="4:5" ht="14.5" x14ac:dyDescent="0.35">
      <c r="D146"/>
      <c r="E146"/>
    </row>
    <row r="147" spans="4:5" ht="14.5" x14ac:dyDescent="0.35">
      <c r="D147"/>
      <c r="E147"/>
    </row>
    <row r="148" spans="4:5" ht="14.5" x14ac:dyDescent="0.35">
      <c r="D148"/>
      <c r="E148"/>
    </row>
    <row r="149" spans="4:5" ht="14.5" x14ac:dyDescent="0.35">
      <c r="D149"/>
      <c r="E149"/>
    </row>
    <row r="150" spans="4:5" ht="14.5" x14ac:dyDescent="0.35">
      <c r="D150"/>
      <c r="E150"/>
    </row>
    <row r="151" spans="4:5" ht="14.5" x14ac:dyDescent="0.35">
      <c r="D151"/>
      <c r="E151"/>
    </row>
    <row r="152" spans="4:5" ht="14.5" x14ac:dyDescent="0.35">
      <c r="D152"/>
      <c r="E152"/>
    </row>
    <row r="153" spans="4:5" ht="14.5" x14ac:dyDescent="0.35">
      <c r="D153"/>
      <c r="E153"/>
    </row>
    <row r="154" spans="4:5" ht="14.5" x14ac:dyDescent="0.35">
      <c r="D154"/>
      <c r="E154"/>
    </row>
    <row r="155" spans="4:5" ht="14.5" x14ac:dyDescent="0.35">
      <c r="D155"/>
      <c r="E155"/>
    </row>
    <row r="156" spans="4:5" ht="14.5" x14ac:dyDescent="0.35">
      <c r="D156"/>
      <c r="E156"/>
    </row>
    <row r="157" spans="4:5" ht="14.5" x14ac:dyDescent="0.35">
      <c r="D157"/>
      <c r="E157"/>
    </row>
    <row r="158" spans="4:5" ht="14.5" x14ac:dyDescent="0.35">
      <c r="D158"/>
      <c r="E158"/>
    </row>
    <row r="159" spans="4:5" ht="14.5" x14ac:dyDescent="0.35">
      <c r="D159"/>
      <c r="E159"/>
    </row>
    <row r="160" spans="4:5" ht="14.5" x14ac:dyDescent="0.35">
      <c r="D160"/>
      <c r="E160"/>
    </row>
    <row r="161" spans="4:5" ht="14.5" x14ac:dyDescent="0.35">
      <c r="D161"/>
      <c r="E161"/>
    </row>
    <row r="162" spans="4:5" ht="14.5" x14ac:dyDescent="0.35">
      <c r="D162"/>
      <c r="E162"/>
    </row>
    <row r="163" spans="4:5" ht="14.5" x14ac:dyDescent="0.35">
      <c r="D163"/>
      <c r="E163"/>
    </row>
    <row r="164" spans="4:5" ht="14.5" x14ac:dyDescent="0.35">
      <c r="D164"/>
      <c r="E164"/>
    </row>
    <row r="165" spans="4:5" ht="14.5" x14ac:dyDescent="0.35">
      <c r="D165"/>
      <c r="E165"/>
    </row>
    <row r="166" spans="4:5" ht="14.5" x14ac:dyDescent="0.35">
      <c r="D166"/>
      <c r="E166"/>
    </row>
    <row r="167" spans="4:5" ht="14.5" x14ac:dyDescent="0.35">
      <c r="D167"/>
      <c r="E167"/>
    </row>
    <row r="168" spans="4:5" ht="14.5" x14ac:dyDescent="0.35">
      <c r="D168"/>
      <c r="E168"/>
    </row>
    <row r="169" spans="4:5" ht="14.5" x14ac:dyDescent="0.35">
      <c r="D169"/>
      <c r="E169"/>
    </row>
    <row r="170" spans="4:5" ht="14.5" x14ac:dyDescent="0.35">
      <c r="D170"/>
      <c r="E170"/>
    </row>
    <row r="171" spans="4:5" ht="14.5" x14ac:dyDescent="0.35">
      <c r="D171"/>
      <c r="E171"/>
    </row>
    <row r="172" spans="4:5" ht="14.5" x14ac:dyDescent="0.35">
      <c r="D172"/>
      <c r="E172"/>
    </row>
    <row r="173" spans="4:5" ht="14.5" x14ac:dyDescent="0.35">
      <c r="D173"/>
      <c r="E173"/>
    </row>
    <row r="174" spans="4:5" ht="14.5" x14ac:dyDescent="0.35">
      <c r="D174"/>
      <c r="E174"/>
    </row>
    <row r="175" spans="4:5" ht="14.5" x14ac:dyDescent="0.35">
      <c r="D175"/>
      <c r="E175"/>
    </row>
    <row r="176" spans="4:5" ht="14.5" x14ac:dyDescent="0.35">
      <c r="D176"/>
      <c r="E176"/>
    </row>
    <row r="177" spans="4:5" ht="14.5" x14ac:dyDescent="0.35">
      <c r="D177"/>
      <c r="E177"/>
    </row>
    <row r="178" spans="4:5" ht="14.5" x14ac:dyDescent="0.35">
      <c r="D178"/>
      <c r="E178"/>
    </row>
    <row r="179" spans="4:5" ht="14.5" x14ac:dyDescent="0.35">
      <c r="D179"/>
      <c r="E179"/>
    </row>
    <row r="180" spans="4:5" ht="14.5" x14ac:dyDescent="0.35">
      <c r="D180"/>
      <c r="E180"/>
    </row>
    <row r="181" spans="4:5" ht="14.5" x14ac:dyDescent="0.35">
      <c r="D181"/>
      <c r="E181"/>
    </row>
    <row r="182" spans="4:5" ht="14.5" x14ac:dyDescent="0.35">
      <c r="D182"/>
      <c r="E182"/>
    </row>
    <row r="183" spans="4:5" ht="14.5" x14ac:dyDescent="0.35">
      <c r="D183"/>
      <c r="E183"/>
    </row>
    <row r="184" spans="4:5" ht="14.5" x14ac:dyDescent="0.35">
      <c r="D184"/>
      <c r="E184"/>
    </row>
    <row r="185" spans="4:5" ht="14.5" x14ac:dyDescent="0.35">
      <c r="D185"/>
      <c r="E185"/>
    </row>
    <row r="186" spans="4:5" ht="14.5" x14ac:dyDescent="0.35">
      <c r="D186"/>
      <c r="E186"/>
    </row>
    <row r="187" spans="4:5" ht="14.5" x14ac:dyDescent="0.35">
      <c r="D187"/>
      <c r="E187"/>
    </row>
    <row r="188" spans="4:5" ht="14.5" x14ac:dyDescent="0.35">
      <c r="D188"/>
      <c r="E188"/>
    </row>
    <row r="189" spans="4:5" ht="14.5" x14ac:dyDescent="0.35">
      <c r="D189"/>
      <c r="E189"/>
    </row>
    <row r="190" spans="4:5" ht="14.5" x14ac:dyDescent="0.35">
      <c r="D190"/>
      <c r="E190"/>
    </row>
    <row r="191" spans="4:5" ht="14.5" x14ac:dyDescent="0.35">
      <c r="D191"/>
      <c r="E191"/>
    </row>
    <row r="192" spans="4:5" ht="14.5" x14ac:dyDescent="0.35">
      <c r="D192"/>
      <c r="E192"/>
    </row>
    <row r="193" spans="4:5" ht="14.5" x14ac:dyDescent="0.35">
      <c r="D193"/>
      <c r="E193"/>
    </row>
    <row r="194" spans="4:5" ht="14.5" x14ac:dyDescent="0.35">
      <c r="D194"/>
      <c r="E194"/>
    </row>
    <row r="195" spans="4:5" ht="14.5" x14ac:dyDescent="0.35">
      <c r="D195"/>
      <c r="E195"/>
    </row>
    <row r="196" spans="4:5" ht="14.5" x14ac:dyDescent="0.35">
      <c r="D196"/>
      <c r="E196"/>
    </row>
    <row r="197" spans="4:5" ht="14.5" x14ac:dyDescent="0.35">
      <c r="D197"/>
      <c r="E197"/>
    </row>
    <row r="198" spans="4:5" ht="14.5" x14ac:dyDescent="0.35">
      <c r="D198"/>
      <c r="E198"/>
    </row>
    <row r="199" spans="4:5" ht="14.5" x14ac:dyDescent="0.35">
      <c r="D199"/>
      <c r="E199"/>
    </row>
    <row r="200" spans="4:5" ht="14.5" x14ac:dyDescent="0.35">
      <c r="D200"/>
      <c r="E200"/>
    </row>
    <row r="201" spans="4:5" ht="14.5" x14ac:dyDescent="0.35">
      <c r="D201"/>
      <c r="E201"/>
    </row>
    <row r="202" spans="4:5" ht="14.5" x14ac:dyDescent="0.35">
      <c r="D202"/>
      <c r="E202"/>
    </row>
    <row r="203" spans="4:5" ht="14.5" x14ac:dyDescent="0.35">
      <c r="D203"/>
      <c r="E203"/>
    </row>
    <row r="204" spans="4:5" ht="14.5" x14ac:dyDescent="0.35">
      <c r="D204"/>
      <c r="E204"/>
    </row>
    <row r="205" spans="4:5" ht="14.5" x14ac:dyDescent="0.35">
      <c r="D205"/>
      <c r="E205"/>
    </row>
    <row r="206" spans="4:5" ht="14.5" x14ac:dyDescent="0.35">
      <c r="D206"/>
      <c r="E206"/>
    </row>
    <row r="207" spans="4:5" ht="14.5" x14ac:dyDescent="0.35">
      <c r="D207"/>
      <c r="E207"/>
    </row>
    <row r="208" spans="4:5" ht="14.5" x14ac:dyDescent="0.35">
      <c r="D208"/>
      <c r="E208"/>
    </row>
    <row r="209" spans="4:5" ht="14.5" x14ac:dyDescent="0.35">
      <c r="D209"/>
      <c r="E209"/>
    </row>
    <row r="210" spans="4:5" ht="14.5" x14ac:dyDescent="0.35">
      <c r="D210"/>
      <c r="E210"/>
    </row>
    <row r="211" spans="4:5" ht="14.5" x14ac:dyDescent="0.35">
      <c r="D211"/>
      <c r="E211"/>
    </row>
    <row r="212" spans="4:5" ht="14.5" x14ac:dyDescent="0.35">
      <c r="D212"/>
      <c r="E212"/>
    </row>
    <row r="213" spans="4:5" ht="14.5" x14ac:dyDescent="0.35">
      <c r="D213"/>
      <c r="E213"/>
    </row>
    <row r="214" spans="4:5" ht="14.5" x14ac:dyDescent="0.35">
      <c r="D214"/>
      <c r="E214"/>
    </row>
    <row r="215" spans="4:5" ht="14.5" x14ac:dyDescent="0.35">
      <c r="D215"/>
      <c r="E215"/>
    </row>
    <row r="216" spans="4:5" ht="14.5" x14ac:dyDescent="0.35">
      <c r="D216"/>
      <c r="E216"/>
    </row>
    <row r="217" spans="4:5" ht="14.5" x14ac:dyDescent="0.35">
      <c r="D217"/>
      <c r="E217"/>
    </row>
    <row r="218" spans="4:5" ht="14.5" x14ac:dyDescent="0.35">
      <c r="D218"/>
      <c r="E218"/>
    </row>
    <row r="219" spans="4:5" ht="14.5" x14ac:dyDescent="0.35">
      <c r="D219"/>
      <c r="E219"/>
    </row>
    <row r="220" spans="4:5" ht="14.5" x14ac:dyDescent="0.35">
      <c r="D220"/>
      <c r="E220"/>
    </row>
    <row r="221" spans="4:5" ht="14.5" x14ac:dyDescent="0.35">
      <c r="D221"/>
      <c r="E221"/>
    </row>
    <row r="222" spans="4:5" ht="14.5" x14ac:dyDescent="0.35">
      <c r="D222"/>
      <c r="E222"/>
    </row>
    <row r="223" spans="4:5" ht="14.5" x14ac:dyDescent="0.35">
      <c r="D223"/>
      <c r="E223"/>
    </row>
    <row r="224" spans="4:5" ht="14.5" x14ac:dyDescent="0.35">
      <c r="D224"/>
      <c r="E224"/>
    </row>
    <row r="225" spans="4:5" ht="14.5" x14ac:dyDescent="0.35">
      <c r="D225"/>
      <c r="E225"/>
    </row>
    <row r="226" spans="4:5" ht="14.5" x14ac:dyDescent="0.35">
      <c r="D226"/>
      <c r="E226"/>
    </row>
    <row r="227" spans="4:5" ht="14.5" x14ac:dyDescent="0.35">
      <c r="D227"/>
      <c r="E227"/>
    </row>
    <row r="228" spans="4:5" ht="14.5" x14ac:dyDescent="0.35">
      <c r="D228"/>
      <c r="E228"/>
    </row>
    <row r="229" spans="4:5" ht="14.5" x14ac:dyDescent="0.35">
      <c r="D229"/>
      <c r="E229"/>
    </row>
    <row r="230" spans="4:5" ht="14.5" x14ac:dyDescent="0.35">
      <c r="D230"/>
      <c r="E230"/>
    </row>
    <row r="231" spans="4:5" ht="14.5" x14ac:dyDescent="0.35">
      <c r="D231"/>
      <c r="E231"/>
    </row>
    <row r="232" spans="4:5" ht="14.5" x14ac:dyDescent="0.35">
      <c r="D232"/>
      <c r="E232"/>
    </row>
    <row r="233" spans="4:5" ht="14.5" x14ac:dyDescent="0.35">
      <c r="D233"/>
      <c r="E233"/>
    </row>
    <row r="234" spans="4:5" ht="14.5" x14ac:dyDescent="0.35">
      <c r="D234"/>
      <c r="E234"/>
    </row>
    <row r="235" spans="4:5" ht="14.5" x14ac:dyDescent="0.35">
      <c r="D235"/>
      <c r="E235"/>
    </row>
    <row r="236" spans="4:5" ht="14.5" x14ac:dyDescent="0.35">
      <c r="D236"/>
      <c r="E236"/>
    </row>
    <row r="237" spans="4:5" ht="14.5" x14ac:dyDescent="0.35">
      <c r="D237"/>
      <c r="E237"/>
    </row>
    <row r="238" spans="4:5" ht="14.5" x14ac:dyDescent="0.35">
      <c r="D238"/>
      <c r="E238"/>
    </row>
    <row r="239" spans="4:5" ht="14.5" x14ac:dyDescent="0.35">
      <c r="D239"/>
      <c r="E239"/>
    </row>
    <row r="240" spans="4:5" ht="14.5" x14ac:dyDescent="0.35">
      <c r="D240"/>
      <c r="E240"/>
    </row>
    <row r="241" spans="4:5" ht="14.5" x14ac:dyDescent="0.35">
      <c r="D241"/>
      <c r="E241"/>
    </row>
    <row r="242" spans="4:5" ht="14.5" x14ac:dyDescent="0.35">
      <c r="D242"/>
      <c r="E242"/>
    </row>
    <row r="243" spans="4:5" ht="14.5" x14ac:dyDescent="0.35">
      <c r="D243"/>
      <c r="E243"/>
    </row>
    <row r="244" spans="4:5" ht="14.5" x14ac:dyDescent="0.35">
      <c r="D244"/>
      <c r="E244"/>
    </row>
    <row r="245" spans="4:5" ht="14.5" x14ac:dyDescent="0.35">
      <c r="D245"/>
      <c r="E245"/>
    </row>
    <row r="246" spans="4:5" ht="14.5" x14ac:dyDescent="0.35">
      <c r="D246"/>
      <c r="E246"/>
    </row>
    <row r="247" spans="4:5" ht="14.5" x14ac:dyDescent="0.35">
      <c r="D247"/>
      <c r="E247"/>
    </row>
    <row r="248" spans="4:5" ht="14.5" x14ac:dyDescent="0.35">
      <c r="D248"/>
      <c r="E248"/>
    </row>
    <row r="249" spans="4:5" ht="14.5" x14ac:dyDescent="0.35">
      <c r="D249"/>
      <c r="E249"/>
    </row>
    <row r="250" spans="4:5" ht="14.5" x14ac:dyDescent="0.35">
      <c r="D250"/>
      <c r="E250"/>
    </row>
    <row r="251" spans="4:5" ht="14.5" x14ac:dyDescent="0.35">
      <c r="D251"/>
      <c r="E251"/>
    </row>
    <row r="252" spans="4:5" ht="14.5" x14ac:dyDescent="0.35">
      <c r="D252"/>
      <c r="E252"/>
    </row>
    <row r="253" spans="4:5" ht="14.5" x14ac:dyDescent="0.35">
      <c r="D253"/>
      <c r="E253"/>
    </row>
    <row r="254" spans="4:5" ht="14.5" x14ac:dyDescent="0.35">
      <c r="D254"/>
      <c r="E254"/>
    </row>
    <row r="255" spans="4:5" ht="14.5" x14ac:dyDescent="0.35">
      <c r="D255"/>
      <c r="E255"/>
    </row>
    <row r="256" spans="4:5" ht="14.5" x14ac:dyDescent="0.35">
      <c r="D256"/>
      <c r="E256"/>
    </row>
    <row r="257" spans="4:5" ht="14.5" x14ac:dyDescent="0.35">
      <c r="D257"/>
      <c r="E257"/>
    </row>
    <row r="258" spans="4:5" ht="14.5" x14ac:dyDescent="0.35">
      <c r="D258"/>
      <c r="E258"/>
    </row>
    <row r="259" spans="4:5" ht="14.5" x14ac:dyDescent="0.35">
      <c r="D259"/>
      <c r="E259"/>
    </row>
    <row r="260" spans="4:5" ht="14.5" x14ac:dyDescent="0.35">
      <c r="D260"/>
      <c r="E260"/>
    </row>
    <row r="261" spans="4:5" ht="14.5" x14ac:dyDescent="0.35">
      <c r="D261"/>
      <c r="E261"/>
    </row>
    <row r="262" spans="4:5" ht="14.5" x14ac:dyDescent="0.35">
      <c r="D262"/>
      <c r="E262"/>
    </row>
    <row r="263" spans="4:5" ht="14.5" x14ac:dyDescent="0.35">
      <c r="D263"/>
      <c r="E263"/>
    </row>
    <row r="264" spans="4:5" ht="14.5" x14ac:dyDescent="0.35">
      <c r="D264"/>
      <c r="E264"/>
    </row>
    <row r="265" spans="4:5" ht="14.5" x14ac:dyDescent="0.35">
      <c r="D265"/>
      <c r="E265"/>
    </row>
    <row r="266" spans="4:5" ht="14.5" x14ac:dyDescent="0.35">
      <c r="D266"/>
      <c r="E266"/>
    </row>
    <row r="267" spans="4:5" ht="14.5" x14ac:dyDescent="0.35">
      <c r="D267"/>
      <c r="E267"/>
    </row>
    <row r="268" spans="4:5" ht="14.5" x14ac:dyDescent="0.35">
      <c r="D268"/>
      <c r="E268"/>
    </row>
    <row r="269" spans="4:5" ht="14.5" x14ac:dyDescent="0.35">
      <c r="D269"/>
      <c r="E269"/>
    </row>
    <row r="270" spans="4:5" ht="14.5" x14ac:dyDescent="0.35">
      <c r="D270"/>
      <c r="E270"/>
    </row>
    <row r="271" spans="4:5" ht="14.5" x14ac:dyDescent="0.35">
      <c r="D271"/>
      <c r="E271"/>
    </row>
    <row r="272" spans="4:5" ht="14.5" x14ac:dyDescent="0.35">
      <c r="D272"/>
      <c r="E272"/>
    </row>
    <row r="273" spans="4:5" ht="14.5" x14ac:dyDescent="0.35">
      <c r="D273"/>
      <c r="E273"/>
    </row>
    <row r="274" spans="4:5" ht="14.5" x14ac:dyDescent="0.35">
      <c r="D274"/>
      <c r="E274"/>
    </row>
    <row r="275" spans="4:5" ht="14.5" x14ac:dyDescent="0.35">
      <c r="D275"/>
      <c r="E275"/>
    </row>
    <row r="276" spans="4:5" ht="14.5" x14ac:dyDescent="0.35">
      <c r="D276"/>
      <c r="E276"/>
    </row>
    <row r="277" spans="4:5" ht="14.5" x14ac:dyDescent="0.35">
      <c r="D277"/>
      <c r="E277"/>
    </row>
    <row r="278" spans="4:5" ht="14.5" x14ac:dyDescent="0.35">
      <c r="D278"/>
      <c r="E278"/>
    </row>
    <row r="279" spans="4:5" ht="14.5" x14ac:dyDescent="0.35">
      <c r="D279"/>
      <c r="E279"/>
    </row>
    <row r="280" spans="4:5" ht="14.5" x14ac:dyDescent="0.35">
      <c r="D280"/>
      <c r="E280"/>
    </row>
    <row r="281" spans="4:5" ht="14.5" x14ac:dyDescent="0.35">
      <c r="D281"/>
      <c r="E281"/>
    </row>
    <row r="282" spans="4:5" ht="14.5" x14ac:dyDescent="0.35">
      <c r="D282"/>
      <c r="E282"/>
    </row>
    <row r="283" spans="4:5" ht="14.5" x14ac:dyDescent="0.35">
      <c r="D283"/>
      <c r="E283"/>
    </row>
    <row r="284" spans="4:5" ht="14.5" x14ac:dyDescent="0.35">
      <c r="D284"/>
      <c r="E284"/>
    </row>
    <row r="285" spans="4:5" ht="14.5" x14ac:dyDescent="0.35">
      <c r="D285"/>
      <c r="E285"/>
    </row>
    <row r="286" spans="4:5" ht="14.5" x14ac:dyDescent="0.35">
      <c r="D286"/>
      <c r="E286"/>
    </row>
    <row r="287" spans="4:5" ht="14.5" x14ac:dyDescent="0.35">
      <c r="D287"/>
      <c r="E287"/>
    </row>
    <row r="288" spans="4:5" ht="14.5" x14ac:dyDescent="0.35">
      <c r="D288"/>
      <c r="E288"/>
    </row>
    <row r="289" spans="4:5" ht="14.5" x14ac:dyDescent="0.35">
      <c r="D289"/>
      <c r="E289"/>
    </row>
    <row r="290" spans="4:5" ht="14.5" x14ac:dyDescent="0.35">
      <c r="D290"/>
      <c r="E290"/>
    </row>
    <row r="291" spans="4:5" ht="14.5" x14ac:dyDescent="0.35">
      <c r="D291"/>
      <c r="E291"/>
    </row>
    <row r="292" spans="4:5" ht="14.5" x14ac:dyDescent="0.35">
      <c r="D292"/>
      <c r="E292"/>
    </row>
    <row r="293" spans="4:5" ht="14.5" x14ac:dyDescent="0.35">
      <c r="D293"/>
      <c r="E293"/>
    </row>
    <row r="294" spans="4:5" ht="14.5" x14ac:dyDescent="0.35">
      <c r="D294"/>
      <c r="E294"/>
    </row>
    <row r="295" spans="4:5" ht="14.5" x14ac:dyDescent="0.35">
      <c r="D295"/>
      <c r="E295"/>
    </row>
    <row r="296" spans="4:5" ht="14.5" x14ac:dyDescent="0.35">
      <c r="D296"/>
      <c r="E296"/>
    </row>
    <row r="297" spans="4:5" ht="14.5" x14ac:dyDescent="0.35">
      <c r="D297"/>
      <c r="E297"/>
    </row>
    <row r="298" spans="4:5" ht="14.5" x14ac:dyDescent="0.35">
      <c r="D298"/>
      <c r="E298"/>
    </row>
    <row r="299" spans="4:5" ht="14.5" x14ac:dyDescent="0.35">
      <c r="D299"/>
      <c r="E299"/>
    </row>
    <row r="300" spans="4:5" ht="14.5" x14ac:dyDescent="0.35">
      <c r="D300"/>
      <c r="E300"/>
    </row>
    <row r="301" spans="4:5" ht="14.5" x14ac:dyDescent="0.35">
      <c r="D301"/>
      <c r="E301"/>
    </row>
    <row r="302" spans="4:5" ht="14.5" x14ac:dyDescent="0.35">
      <c r="D302"/>
      <c r="E302"/>
    </row>
    <row r="303" spans="4:5" ht="14.5" x14ac:dyDescent="0.35">
      <c r="D303"/>
      <c r="E303"/>
    </row>
    <row r="304" spans="4:5" ht="14.5" x14ac:dyDescent="0.35">
      <c r="D304"/>
      <c r="E304"/>
    </row>
    <row r="305" spans="4:5" ht="14.5" x14ac:dyDescent="0.35">
      <c r="D305"/>
      <c r="E305"/>
    </row>
    <row r="306" spans="4:5" ht="14.5" x14ac:dyDescent="0.35">
      <c r="D306"/>
      <c r="E306"/>
    </row>
    <row r="307" spans="4:5" ht="14.5" x14ac:dyDescent="0.35">
      <c r="D307"/>
      <c r="E307"/>
    </row>
    <row r="308" spans="4:5" ht="14.5" x14ac:dyDescent="0.35">
      <c r="D308"/>
      <c r="E308"/>
    </row>
    <row r="309" spans="4:5" ht="14.5" x14ac:dyDescent="0.35">
      <c r="D309"/>
      <c r="E309"/>
    </row>
    <row r="310" spans="4:5" ht="14.5" x14ac:dyDescent="0.35">
      <c r="D310"/>
      <c r="E310"/>
    </row>
    <row r="311" spans="4:5" ht="14.5" x14ac:dyDescent="0.35">
      <c r="D311"/>
      <c r="E311"/>
    </row>
    <row r="312" spans="4:5" ht="14.5" x14ac:dyDescent="0.35">
      <c r="D312"/>
      <c r="E312"/>
    </row>
    <row r="313" spans="4:5" ht="14.5" x14ac:dyDescent="0.35">
      <c r="D313"/>
      <c r="E313"/>
    </row>
    <row r="314" spans="4:5" ht="14.5" x14ac:dyDescent="0.35">
      <c r="D314"/>
      <c r="E314"/>
    </row>
    <row r="315" spans="4:5" ht="14.5" x14ac:dyDescent="0.35">
      <c r="D315"/>
      <c r="E315"/>
    </row>
    <row r="316" spans="4:5" ht="14.5" x14ac:dyDescent="0.35">
      <c r="D316"/>
      <c r="E316"/>
    </row>
    <row r="317" spans="4:5" ht="14.5" x14ac:dyDescent="0.35">
      <c r="D317"/>
      <c r="E317"/>
    </row>
    <row r="318" spans="4:5" ht="14.5" x14ac:dyDescent="0.35">
      <c r="D318"/>
      <c r="E318"/>
    </row>
    <row r="319" spans="4:5" ht="14.5" x14ac:dyDescent="0.35">
      <c r="D319"/>
      <c r="E319"/>
    </row>
    <row r="320" spans="4:5" ht="14.5" x14ac:dyDescent="0.35">
      <c r="D320"/>
      <c r="E320"/>
    </row>
    <row r="321" spans="4:5" ht="14.5" x14ac:dyDescent="0.35">
      <c r="D321"/>
      <c r="E321"/>
    </row>
    <row r="322" spans="4:5" ht="14.5" x14ac:dyDescent="0.35">
      <c r="D322"/>
      <c r="E322"/>
    </row>
    <row r="323" spans="4:5" ht="14.5" x14ac:dyDescent="0.35">
      <c r="D323"/>
      <c r="E323"/>
    </row>
    <row r="324" spans="4:5" ht="14.5" x14ac:dyDescent="0.35">
      <c r="D324"/>
      <c r="E324"/>
    </row>
    <row r="325" spans="4:5" ht="14.5" x14ac:dyDescent="0.35">
      <c r="D325"/>
      <c r="E325"/>
    </row>
    <row r="326" spans="4:5" ht="14.5" x14ac:dyDescent="0.35">
      <c r="D326"/>
      <c r="E326"/>
    </row>
    <row r="327" spans="4:5" ht="14.5" x14ac:dyDescent="0.35">
      <c r="D327"/>
      <c r="E327"/>
    </row>
    <row r="328" spans="4:5" ht="14.5" x14ac:dyDescent="0.35">
      <c r="D328"/>
      <c r="E328"/>
    </row>
    <row r="329" spans="4:5" ht="14.5" x14ac:dyDescent="0.35">
      <c r="D329"/>
      <c r="E329"/>
    </row>
    <row r="330" spans="4:5" ht="14.5" x14ac:dyDescent="0.35">
      <c r="D330"/>
      <c r="E330"/>
    </row>
    <row r="331" spans="4:5" ht="14.5" x14ac:dyDescent="0.35">
      <c r="D331"/>
      <c r="E331"/>
    </row>
    <row r="332" spans="4:5" ht="14.5" x14ac:dyDescent="0.35">
      <c r="D332"/>
      <c r="E332"/>
    </row>
    <row r="333" spans="4:5" ht="14.5" x14ac:dyDescent="0.35">
      <c r="D333"/>
      <c r="E333"/>
    </row>
    <row r="334" spans="4:5" ht="14.5" x14ac:dyDescent="0.35">
      <c r="D334"/>
      <c r="E334"/>
    </row>
    <row r="335" spans="4:5" ht="14.5" x14ac:dyDescent="0.35">
      <c r="D335"/>
      <c r="E335"/>
    </row>
    <row r="336" spans="4:5" ht="14.5" x14ac:dyDescent="0.35">
      <c r="D336"/>
      <c r="E336"/>
    </row>
    <row r="337" spans="4:5" ht="14.5" x14ac:dyDescent="0.35">
      <c r="D337"/>
      <c r="E337"/>
    </row>
    <row r="338" spans="4:5" ht="14.5" x14ac:dyDescent="0.35">
      <c r="D338"/>
      <c r="E338"/>
    </row>
    <row r="339" spans="4:5" ht="14.5" x14ac:dyDescent="0.35">
      <c r="D339"/>
      <c r="E339"/>
    </row>
    <row r="340" spans="4:5" ht="14.5" x14ac:dyDescent="0.35">
      <c r="D340"/>
      <c r="E340"/>
    </row>
    <row r="341" spans="4:5" ht="14.5" x14ac:dyDescent="0.35">
      <c r="D341"/>
      <c r="E341"/>
    </row>
    <row r="342" spans="4:5" ht="14.5" x14ac:dyDescent="0.35">
      <c r="D342"/>
      <c r="E342"/>
    </row>
    <row r="343" spans="4:5" ht="14.5" x14ac:dyDescent="0.35">
      <c r="D343"/>
      <c r="E343"/>
    </row>
    <row r="344" spans="4:5" ht="14.5" x14ac:dyDescent="0.35">
      <c r="D344"/>
      <c r="E344"/>
    </row>
    <row r="345" spans="4:5" ht="14.5" x14ac:dyDescent="0.35">
      <c r="D345"/>
      <c r="E345"/>
    </row>
    <row r="346" spans="4:5" ht="14.5" x14ac:dyDescent="0.35">
      <c r="D346"/>
      <c r="E346"/>
    </row>
    <row r="347" spans="4:5" ht="14.5" x14ac:dyDescent="0.35">
      <c r="D347"/>
      <c r="E347"/>
    </row>
    <row r="348" spans="4:5" ht="14.5" x14ac:dyDescent="0.35">
      <c r="D348"/>
      <c r="E348"/>
    </row>
    <row r="349" spans="4:5" ht="14.5" x14ac:dyDescent="0.35">
      <c r="D349"/>
      <c r="E349"/>
    </row>
    <row r="350" spans="4:5" ht="14.5" x14ac:dyDescent="0.35">
      <c r="D350"/>
      <c r="E350"/>
    </row>
    <row r="351" spans="4:5" ht="14.5" x14ac:dyDescent="0.35">
      <c r="D351"/>
      <c r="E351"/>
    </row>
    <row r="352" spans="4:5" ht="14.5" x14ac:dyDescent="0.35">
      <c r="D352"/>
      <c r="E352"/>
    </row>
    <row r="353" spans="4:5" ht="14.5" x14ac:dyDescent="0.35">
      <c r="D353"/>
      <c r="E353"/>
    </row>
    <row r="354" spans="4:5" ht="14.5" x14ac:dyDescent="0.35">
      <c r="D354"/>
      <c r="E354"/>
    </row>
    <row r="355" spans="4:5" ht="14.5" x14ac:dyDescent="0.35">
      <c r="D355"/>
      <c r="E355"/>
    </row>
    <row r="356" spans="4:5" ht="14.5" x14ac:dyDescent="0.35">
      <c r="D356"/>
      <c r="E356"/>
    </row>
    <row r="357" spans="4:5" ht="14.5" x14ac:dyDescent="0.35">
      <c r="D357"/>
      <c r="E357"/>
    </row>
    <row r="358" spans="4:5" ht="14.5" x14ac:dyDescent="0.35">
      <c r="D358"/>
      <c r="E358"/>
    </row>
    <row r="359" spans="4:5" ht="14.5" x14ac:dyDescent="0.35">
      <c r="D359"/>
      <c r="E359"/>
    </row>
    <row r="360" spans="4:5" ht="14.5" x14ac:dyDescent="0.35">
      <c r="D360"/>
      <c r="E360"/>
    </row>
    <row r="361" spans="4:5" ht="14.5" x14ac:dyDescent="0.35">
      <c r="D361"/>
      <c r="E361"/>
    </row>
    <row r="362" spans="4:5" ht="14.5" x14ac:dyDescent="0.35">
      <c r="D362"/>
      <c r="E362"/>
    </row>
    <row r="363" spans="4:5" ht="14.5" x14ac:dyDescent="0.35">
      <c r="D363"/>
      <c r="E363"/>
    </row>
    <row r="364" spans="4:5" ht="14.5" x14ac:dyDescent="0.35">
      <c r="D364"/>
      <c r="E364"/>
    </row>
    <row r="365" spans="4:5" ht="14.5" x14ac:dyDescent="0.35">
      <c r="D365"/>
      <c r="E365"/>
    </row>
    <row r="366" spans="4:5" ht="14.5" x14ac:dyDescent="0.35">
      <c r="D366"/>
      <c r="E366"/>
    </row>
    <row r="367" spans="4:5" ht="14.5" x14ac:dyDescent="0.35">
      <c r="D367"/>
      <c r="E367"/>
    </row>
    <row r="368" spans="4:5" ht="14.5" x14ac:dyDescent="0.35">
      <c r="D368"/>
      <c r="E368"/>
    </row>
    <row r="369" spans="4:5" ht="14.5" x14ac:dyDescent="0.35">
      <c r="D369"/>
      <c r="E369"/>
    </row>
    <row r="370" spans="4:5" ht="14.5" x14ac:dyDescent="0.35">
      <c r="D370"/>
      <c r="E370"/>
    </row>
    <row r="371" spans="4:5" ht="14.5" x14ac:dyDescent="0.35">
      <c r="D371"/>
      <c r="E371"/>
    </row>
    <row r="372" spans="4:5" ht="14.5" x14ac:dyDescent="0.35">
      <c r="D372"/>
      <c r="E372"/>
    </row>
    <row r="373" spans="4:5" ht="14.5" x14ac:dyDescent="0.35">
      <c r="D373"/>
      <c r="E373"/>
    </row>
    <row r="374" spans="4:5" ht="14.5" x14ac:dyDescent="0.35">
      <c r="D374"/>
      <c r="E374"/>
    </row>
    <row r="375" spans="4:5" ht="14.5" x14ac:dyDescent="0.35">
      <c r="D375"/>
      <c r="E375"/>
    </row>
    <row r="376" spans="4:5" ht="14.5" x14ac:dyDescent="0.35">
      <c r="D376"/>
      <c r="E376"/>
    </row>
    <row r="377" spans="4:5" ht="14.5" x14ac:dyDescent="0.35">
      <c r="D377"/>
      <c r="E377"/>
    </row>
    <row r="378" spans="4:5" ht="14.5" x14ac:dyDescent="0.35">
      <c r="D378"/>
      <c r="E378"/>
    </row>
    <row r="379" spans="4:5" ht="14.5" x14ac:dyDescent="0.35">
      <c r="D379"/>
      <c r="E379"/>
    </row>
    <row r="380" spans="4:5" ht="14.5" x14ac:dyDescent="0.35">
      <c r="D380"/>
      <c r="E380"/>
    </row>
    <row r="381" spans="4:5" ht="14.5" x14ac:dyDescent="0.35">
      <c r="D381"/>
      <c r="E381"/>
    </row>
    <row r="382" spans="4:5" ht="14.5" x14ac:dyDescent="0.35">
      <c r="D382"/>
      <c r="E382"/>
    </row>
    <row r="383" spans="4:5" ht="14.5" x14ac:dyDescent="0.35">
      <c r="D383"/>
      <c r="E383"/>
    </row>
    <row r="384" spans="4:5" ht="14.5" x14ac:dyDescent="0.35">
      <c r="D384"/>
      <c r="E384"/>
    </row>
    <row r="385" spans="4:5" ht="14.5" x14ac:dyDescent="0.35">
      <c r="D385"/>
      <c r="E385"/>
    </row>
    <row r="386" spans="4:5" ht="14.5" x14ac:dyDescent="0.35">
      <c r="D386"/>
      <c r="E386"/>
    </row>
    <row r="387" spans="4:5" ht="14.5" x14ac:dyDescent="0.35">
      <c r="D387"/>
      <c r="E387"/>
    </row>
    <row r="388" spans="4:5" ht="14.5" x14ac:dyDescent="0.35">
      <c r="D388"/>
      <c r="E388"/>
    </row>
    <row r="389" spans="4:5" ht="14.5" x14ac:dyDescent="0.35">
      <c r="D389"/>
      <c r="E389"/>
    </row>
    <row r="390" spans="4:5" ht="14.5" x14ac:dyDescent="0.35">
      <c r="D390"/>
      <c r="E390"/>
    </row>
    <row r="391" spans="4:5" ht="14.5" x14ac:dyDescent="0.35">
      <c r="D391"/>
      <c r="E391"/>
    </row>
    <row r="392" spans="4:5" ht="14.5" x14ac:dyDescent="0.35">
      <c r="D392"/>
      <c r="E392"/>
    </row>
    <row r="393" spans="4:5" ht="14.5" x14ac:dyDescent="0.35">
      <c r="D393"/>
      <c r="E393"/>
    </row>
    <row r="394" spans="4:5" ht="14.5" x14ac:dyDescent="0.35">
      <c r="D394"/>
      <c r="E394"/>
    </row>
    <row r="395" spans="4:5" ht="14.5" x14ac:dyDescent="0.35">
      <c r="D395"/>
      <c r="E395"/>
    </row>
    <row r="396" spans="4:5" ht="14.5" x14ac:dyDescent="0.35">
      <c r="D396"/>
      <c r="E396"/>
    </row>
    <row r="397" spans="4:5" ht="14.5" x14ac:dyDescent="0.35">
      <c r="D397"/>
      <c r="E397"/>
    </row>
    <row r="398" spans="4:5" ht="14.5" x14ac:dyDescent="0.35">
      <c r="D398"/>
      <c r="E398"/>
    </row>
    <row r="399" spans="4:5" ht="14.5" x14ac:dyDescent="0.35">
      <c r="D399"/>
      <c r="E399"/>
    </row>
    <row r="400" spans="4:5" ht="14.5" x14ac:dyDescent="0.35">
      <c r="D400"/>
      <c r="E400"/>
    </row>
    <row r="401" spans="4:5" ht="14.5" x14ac:dyDescent="0.35">
      <c r="D401"/>
      <c r="E401"/>
    </row>
    <row r="402" spans="4:5" ht="14.5" x14ac:dyDescent="0.35">
      <c r="D402"/>
      <c r="E402"/>
    </row>
    <row r="403" spans="4:5" ht="14.5" x14ac:dyDescent="0.35">
      <c r="D403"/>
      <c r="E403"/>
    </row>
    <row r="404" spans="4:5" ht="14.5" x14ac:dyDescent="0.35">
      <c r="D404"/>
      <c r="E404"/>
    </row>
    <row r="405" spans="4:5" ht="14.5" x14ac:dyDescent="0.35">
      <c r="D405"/>
      <c r="E405"/>
    </row>
    <row r="406" spans="4:5" ht="14.5" x14ac:dyDescent="0.35">
      <c r="D406"/>
      <c r="E406"/>
    </row>
    <row r="407" spans="4:5" ht="14.5" x14ac:dyDescent="0.35">
      <c r="D407"/>
      <c r="E407"/>
    </row>
    <row r="408" spans="4:5" ht="14.5" x14ac:dyDescent="0.35">
      <c r="D408"/>
      <c r="E408"/>
    </row>
    <row r="409" spans="4:5" ht="14.5" x14ac:dyDescent="0.35">
      <c r="D409"/>
      <c r="E409"/>
    </row>
    <row r="410" spans="4:5" ht="14.5" x14ac:dyDescent="0.35">
      <c r="D410"/>
      <c r="E410"/>
    </row>
    <row r="411" spans="4:5" ht="14.5" x14ac:dyDescent="0.35">
      <c r="D411"/>
      <c r="E411"/>
    </row>
    <row r="412" spans="4:5" ht="14.5" x14ac:dyDescent="0.35">
      <c r="D412"/>
      <c r="E412"/>
    </row>
    <row r="413" spans="4:5" ht="14.5" x14ac:dyDescent="0.35">
      <c r="D413"/>
      <c r="E413"/>
    </row>
    <row r="414" spans="4:5" ht="14.5" x14ac:dyDescent="0.35">
      <c r="D414"/>
      <c r="E414"/>
    </row>
    <row r="415" spans="4:5" ht="14.5" x14ac:dyDescent="0.35">
      <c r="D415"/>
      <c r="E415"/>
    </row>
    <row r="416" spans="4:5" ht="14.5" x14ac:dyDescent="0.35">
      <c r="D416"/>
      <c r="E416"/>
    </row>
    <row r="417" spans="4:5" ht="14.5" x14ac:dyDescent="0.35">
      <c r="D417"/>
      <c r="E417"/>
    </row>
    <row r="418" spans="4:5" ht="14.5" x14ac:dyDescent="0.35">
      <c r="D418"/>
      <c r="E418"/>
    </row>
    <row r="419" spans="4:5" ht="14.5" x14ac:dyDescent="0.35">
      <c r="D419"/>
      <c r="E419"/>
    </row>
    <row r="420" spans="4:5" ht="14.5" x14ac:dyDescent="0.35">
      <c r="D420"/>
      <c r="E420"/>
    </row>
    <row r="421" spans="4:5" ht="14.5" x14ac:dyDescent="0.35">
      <c r="D421"/>
      <c r="E421"/>
    </row>
    <row r="422" spans="4:5" ht="14.5" x14ac:dyDescent="0.35">
      <c r="D422"/>
      <c r="E422"/>
    </row>
    <row r="423" spans="4:5" ht="14.5" x14ac:dyDescent="0.35">
      <c r="D423"/>
      <c r="E423"/>
    </row>
    <row r="424" spans="4:5" ht="14.5" x14ac:dyDescent="0.35">
      <c r="D424"/>
      <c r="E424"/>
    </row>
    <row r="425" spans="4:5" ht="14.5" x14ac:dyDescent="0.35">
      <c r="D425"/>
      <c r="E425"/>
    </row>
    <row r="426" spans="4:5" ht="14.5" x14ac:dyDescent="0.35">
      <c r="D426"/>
      <c r="E426"/>
    </row>
    <row r="427" spans="4:5" ht="14.5" x14ac:dyDescent="0.35">
      <c r="D427"/>
      <c r="E427"/>
    </row>
    <row r="428" spans="4:5" ht="14.5" x14ac:dyDescent="0.35">
      <c r="D428"/>
      <c r="E428"/>
    </row>
    <row r="429" spans="4:5" ht="14.5" x14ac:dyDescent="0.35">
      <c r="D429"/>
      <c r="E429"/>
    </row>
    <row r="430" spans="4:5" ht="14.5" x14ac:dyDescent="0.35">
      <c r="D430"/>
      <c r="E430"/>
    </row>
    <row r="431" spans="4:5" ht="14.5" x14ac:dyDescent="0.35">
      <c r="D431"/>
      <c r="E431"/>
    </row>
    <row r="432" spans="4:5" ht="14.5" x14ac:dyDescent="0.35">
      <c r="D432"/>
      <c r="E432"/>
    </row>
    <row r="433" spans="4:5" ht="14.5" x14ac:dyDescent="0.35">
      <c r="D433"/>
      <c r="E433"/>
    </row>
    <row r="434" spans="4:5" ht="14.5" x14ac:dyDescent="0.35">
      <c r="D434"/>
      <c r="E434"/>
    </row>
    <row r="435" spans="4:5" ht="14.5" x14ac:dyDescent="0.35">
      <c r="D435"/>
      <c r="E435"/>
    </row>
    <row r="436" spans="4:5" ht="14.5" x14ac:dyDescent="0.35">
      <c r="D436"/>
      <c r="E436"/>
    </row>
    <row r="437" spans="4:5" ht="14.5" x14ac:dyDescent="0.35">
      <c r="D437"/>
      <c r="E437"/>
    </row>
    <row r="438" spans="4:5" ht="14.5" x14ac:dyDescent="0.35">
      <c r="D438"/>
      <c r="E438"/>
    </row>
    <row r="439" spans="4:5" ht="14.5" x14ac:dyDescent="0.35">
      <c r="D439"/>
      <c r="E439"/>
    </row>
    <row r="440" spans="4:5" ht="14.5" x14ac:dyDescent="0.35">
      <c r="D440"/>
      <c r="E440"/>
    </row>
    <row r="441" spans="4:5" ht="14.5" x14ac:dyDescent="0.35">
      <c r="D441"/>
      <c r="E441"/>
    </row>
    <row r="442" spans="4:5" ht="14.5" x14ac:dyDescent="0.35">
      <c r="D442"/>
      <c r="E442"/>
    </row>
    <row r="443" spans="4:5" ht="14.5" x14ac:dyDescent="0.35">
      <c r="D443"/>
      <c r="E443"/>
    </row>
    <row r="444" spans="4:5" ht="14.5" x14ac:dyDescent="0.35">
      <c r="D444"/>
      <c r="E444"/>
    </row>
    <row r="445" spans="4:5" ht="14.5" x14ac:dyDescent="0.35">
      <c r="D445"/>
      <c r="E445"/>
    </row>
    <row r="446" spans="4:5" ht="14.5" x14ac:dyDescent="0.35">
      <c r="D446"/>
      <c r="E446"/>
    </row>
    <row r="447" spans="4:5" ht="14.5" x14ac:dyDescent="0.35">
      <c r="D447"/>
      <c r="E447"/>
    </row>
    <row r="448" spans="4:5" ht="14.5" x14ac:dyDescent="0.35">
      <c r="D448"/>
      <c r="E448"/>
    </row>
    <row r="449" spans="4:5" ht="14.5" x14ac:dyDescent="0.35">
      <c r="D449"/>
      <c r="E449"/>
    </row>
    <row r="450" spans="4:5" ht="14.5" x14ac:dyDescent="0.35">
      <c r="D450"/>
      <c r="E450"/>
    </row>
    <row r="451" spans="4:5" ht="14.5" x14ac:dyDescent="0.35">
      <c r="D451"/>
      <c r="E451"/>
    </row>
    <row r="452" spans="4:5" ht="14.5" x14ac:dyDescent="0.35">
      <c r="D452"/>
      <c r="E452"/>
    </row>
    <row r="453" spans="4:5" ht="14.5" x14ac:dyDescent="0.35">
      <c r="D453"/>
      <c r="E453"/>
    </row>
    <row r="454" spans="4:5" ht="14.5" x14ac:dyDescent="0.35">
      <c r="D454"/>
      <c r="E454"/>
    </row>
    <row r="455" spans="4:5" ht="14.5" x14ac:dyDescent="0.35">
      <c r="D455"/>
      <c r="E455"/>
    </row>
    <row r="456" spans="4:5" ht="14.5" x14ac:dyDescent="0.35">
      <c r="D456"/>
      <c r="E456"/>
    </row>
    <row r="457" spans="4:5" ht="14.5" x14ac:dyDescent="0.35">
      <c r="D457"/>
      <c r="E457"/>
    </row>
    <row r="458" spans="4:5" ht="14.5" x14ac:dyDescent="0.35">
      <c r="D458"/>
      <c r="E458"/>
    </row>
    <row r="459" spans="4:5" ht="14.5" x14ac:dyDescent="0.35">
      <c r="D459"/>
      <c r="E459"/>
    </row>
    <row r="460" spans="4:5" ht="14.5" x14ac:dyDescent="0.35">
      <c r="D460"/>
      <c r="E460"/>
    </row>
    <row r="461" spans="4:5" ht="14.5" x14ac:dyDescent="0.35">
      <c r="D461"/>
      <c r="E461"/>
    </row>
    <row r="462" spans="4:5" ht="14.5" x14ac:dyDescent="0.35">
      <c r="D462"/>
      <c r="E462"/>
    </row>
    <row r="463" spans="4:5" ht="14.5" x14ac:dyDescent="0.35">
      <c r="D463"/>
      <c r="E463"/>
    </row>
    <row r="464" spans="4:5" ht="14.5" x14ac:dyDescent="0.35">
      <c r="D464"/>
      <c r="E464"/>
    </row>
    <row r="465" spans="4:5" ht="14.5" x14ac:dyDescent="0.35">
      <c r="D465"/>
      <c r="E465"/>
    </row>
    <row r="466" spans="4:5" ht="14.5" x14ac:dyDescent="0.35">
      <c r="D466"/>
      <c r="E466"/>
    </row>
    <row r="467" spans="4:5" ht="14.5" x14ac:dyDescent="0.35">
      <c r="D467"/>
      <c r="E467"/>
    </row>
    <row r="468" spans="4:5" ht="14.5" x14ac:dyDescent="0.35">
      <c r="D468"/>
      <c r="E468"/>
    </row>
    <row r="469" spans="4:5" ht="14.5" x14ac:dyDescent="0.35">
      <c r="D469"/>
      <c r="E469"/>
    </row>
    <row r="470" spans="4:5" ht="14.5" x14ac:dyDescent="0.35">
      <c r="D470"/>
      <c r="E470"/>
    </row>
    <row r="471" spans="4:5" ht="14.5" x14ac:dyDescent="0.35">
      <c r="D471"/>
      <c r="E471"/>
    </row>
    <row r="472" spans="4:5" ht="14.5" x14ac:dyDescent="0.35">
      <c r="D472"/>
      <c r="E472"/>
    </row>
    <row r="473" spans="4:5" ht="14.5" x14ac:dyDescent="0.35">
      <c r="D473"/>
      <c r="E473"/>
    </row>
    <row r="474" spans="4:5" ht="14.5" x14ac:dyDescent="0.35">
      <c r="D474"/>
      <c r="E474"/>
    </row>
    <row r="475" spans="4:5" ht="14.5" x14ac:dyDescent="0.35">
      <c r="D475"/>
      <c r="E475"/>
    </row>
    <row r="476" spans="4:5" ht="14.5" x14ac:dyDescent="0.35">
      <c r="D476"/>
      <c r="E476"/>
    </row>
    <row r="477" spans="4:5" ht="14.5" x14ac:dyDescent="0.35">
      <c r="D477"/>
      <c r="E477"/>
    </row>
    <row r="478" spans="4:5" ht="14.5" x14ac:dyDescent="0.35">
      <c r="D478"/>
      <c r="E478"/>
    </row>
    <row r="479" spans="4:5" ht="14.5" x14ac:dyDescent="0.35">
      <c r="D479"/>
      <c r="E479"/>
    </row>
    <row r="480" spans="4:5" ht="14.5" x14ac:dyDescent="0.35">
      <c r="D480"/>
      <c r="E480"/>
    </row>
    <row r="481" spans="4:5" ht="14.5" x14ac:dyDescent="0.35">
      <c r="D481"/>
      <c r="E481"/>
    </row>
    <row r="482" spans="4:5" ht="14.5" x14ac:dyDescent="0.35">
      <c r="D482"/>
      <c r="E482"/>
    </row>
    <row r="483" spans="4:5" ht="14.5" x14ac:dyDescent="0.35">
      <c r="D483"/>
      <c r="E483"/>
    </row>
    <row r="484" spans="4:5" ht="14.5" x14ac:dyDescent="0.35">
      <c r="D484"/>
      <c r="E484"/>
    </row>
    <row r="485" spans="4:5" ht="14.5" x14ac:dyDescent="0.35">
      <c r="D485"/>
      <c r="E485"/>
    </row>
    <row r="486" spans="4:5" ht="14.5" x14ac:dyDescent="0.35">
      <c r="D486"/>
      <c r="E486"/>
    </row>
    <row r="487" spans="4:5" ht="14.5" x14ac:dyDescent="0.35">
      <c r="D487"/>
      <c r="E487"/>
    </row>
    <row r="488" spans="4:5" ht="14.5" x14ac:dyDescent="0.35">
      <c r="D488"/>
      <c r="E488"/>
    </row>
    <row r="489" spans="4:5" ht="14.5" x14ac:dyDescent="0.35">
      <c r="D489"/>
      <c r="E489"/>
    </row>
    <row r="490" spans="4:5" ht="14.5" x14ac:dyDescent="0.35">
      <c r="D490"/>
      <c r="E490"/>
    </row>
    <row r="491" spans="4:5" ht="14.5" x14ac:dyDescent="0.35">
      <c r="D491"/>
      <c r="E491"/>
    </row>
    <row r="492" spans="4:5" ht="14.5" x14ac:dyDescent="0.35">
      <c r="D492"/>
      <c r="E492"/>
    </row>
    <row r="493" spans="4:5" ht="14.5" x14ac:dyDescent="0.35">
      <c r="D493"/>
      <c r="E493"/>
    </row>
    <row r="494" spans="4:5" ht="14.5" x14ac:dyDescent="0.35">
      <c r="D494"/>
      <c r="E494"/>
    </row>
    <row r="495" spans="4:5" ht="14.5" x14ac:dyDescent="0.35">
      <c r="D495"/>
      <c r="E495"/>
    </row>
    <row r="496" spans="4:5" ht="14.5" x14ac:dyDescent="0.35">
      <c r="D496"/>
      <c r="E496"/>
    </row>
    <row r="497" spans="4:5" ht="14.5" x14ac:dyDescent="0.35">
      <c r="D497"/>
      <c r="E497"/>
    </row>
    <row r="498" spans="4:5" ht="14.5" x14ac:dyDescent="0.35">
      <c r="D498"/>
      <c r="E498"/>
    </row>
    <row r="499" spans="4:5" ht="14.5" x14ac:dyDescent="0.35">
      <c r="D499"/>
      <c r="E499"/>
    </row>
    <row r="500" spans="4:5" ht="14.5" x14ac:dyDescent="0.35">
      <c r="D500"/>
      <c r="E500"/>
    </row>
    <row r="501" spans="4:5" ht="14.5" x14ac:dyDescent="0.35">
      <c r="D501"/>
      <c r="E501"/>
    </row>
    <row r="502" spans="4:5" ht="14.5" x14ac:dyDescent="0.35">
      <c r="D502"/>
      <c r="E502"/>
    </row>
    <row r="503" spans="4:5" ht="14.5" x14ac:dyDescent="0.35">
      <c r="D503"/>
      <c r="E503"/>
    </row>
    <row r="504" spans="4:5" ht="14.5" x14ac:dyDescent="0.35">
      <c r="D504"/>
      <c r="E504"/>
    </row>
    <row r="505" spans="4:5" ht="14.5" x14ac:dyDescent="0.35">
      <c r="D505"/>
      <c r="E505"/>
    </row>
    <row r="506" spans="4:5" ht="14.5" x14ac:dyDescent="0.35">
      <c r="D506"/>
      <c r="E506"/>
    </row>
    <row r="507" spans="4:5" ht="14.5" x14ac:dyDescent="0.35">
      <c r="D507"/>
      <c r="E507"/>
    </row>
    <row r="508" spans="4:5" ht="14.5" x14ac:dyDescent="0.35">
      <c r="D508"/>
      <c r="E508"/>
    </row>
    <row r="509" spans="4:5" ht="14.5" x14ac:dyDescent="0.35">
      <c r="D509"/>
      <c r="E509"/>
    </row>
    <row r="510" spans="4:5" ht="14.5" x14ac:dyDescent="0.35">
      <c r="D510"/>
      <c r="E510"/>
    </row>
    <row r="511" spans="4:5" ht="14.5" x14ac:dyDescent="0.35">
      <c r="D511"/>
      <c r="E511"/>
    </row>
    <row r="512" spans="4:5" ht="14.5" x14ac:dyDescent="0.35">
      <c r="D512"/>
      <c r="E512"/>
    </row>
    <row r="513" spans="4:5" ht="14.5" x14ac:dyDescent="0.35">
      <c r="D513"/>
      <c r="E513"/>
    </row>
    <row r="514" spans="4:5" ht="14.5" x14ac:dyDescent="0.35">
      <c r="D514"/>
      <c r="E514"/>
    </row>
    <row r="515" spans="4:5" ht="14.5" x14ac:dyDescent="0.35">
      <c r="D515"/>
      <c r="E515"/>
    </row>
    <row r="516" spans="4:5" ht="14.5" x14ac:dyDescent="0.35">
      <c r="D516"/>
      <c r="E516"/>
    </row>
    <row r="517" spans="4:5" ht="14.5" x14ac:dyDescent="0.35">
      <c r="D517"/>
      <c r="E517"/>
    </row>
    <row r="518" spans="4:5" ht="14.5" x14ac:dyDescent="0.35">
      <c r="D518"/>
      <c r="E518"/>
    </row>
    <row r="519" spans="4:5" ht="14.5" x14ac:dyDescent="0.35">
      <c r="D519"/>
      <c r="E519"/>
    </row>
    <row r="520" spans="4:5" ht="14.5" x14ac:dyDescent="0.35">
      <c r="D520"/>
      <c r="E520"/>
    </row>
    <row r="521" spans="4:5" ht="14.5" x14ac:dyDescent="0.35">
      <c r="D521"/>
      <c r="E521"/>
    </row>
    <row r="522" spans="4:5" ht="14.5" x14ac:dyDescent="0.35">
      <c r="D522"/>
      <c r="E522"/>
    </row>
    <row r="523" spans="4:5" ht="14.5" x14ac:dyDescent="0.35">
      <c r="D523"/>
      <c r="E523"/>
    </row>
    <row r="524" spans="4:5" ht="14.5" x14ac:dyDescent="0.35">
      <c r="D524"/>
      <c r="E524"/>
    </row>
    <row r="525" spans="4:5" ht="14.5" x14ac:dyDescent="0.35">
      <c r="D525"/>
      <c r="E525"/>
    </row>
    <row r="526" spans="4:5" ht="14.5" x14ac:dyDescent="0.35">
      <c r="D526"/>
      <c r="E526"/>
    </row>
    <row r="527" spans="4:5" ht="14.5" x14ac:dyDescent="0.35">
      <c r="D527"/>
      <c r="E527"/>
    </row>
    <row r="528" spans="4:5" ht="14.5" x14ac:dyDescent="0.35">
      <c r="D528"/>
      <c r="E528"/>
    </row>
    <row r="529" spans="4:5" ht="14.5" x14ac:dyDescent="0.35">
      <c r="D529"/>
      <c r="E529"/>
    </row>
    <row r="530" spans="4:5" ht="14.5" x14ac:dyDescent="0.35">
      <c r="D530"/>
      <c r="E530"/>
    </row>
    <row r="531" spans="4:5" ht="14.5" x14ac:dyDescent="0.35">
      <c r="D531"/>
      <c r="E531"/>
    </row>
    <row r="532" spans="4:5" ht="14.5" x14ac:dyDescent="0.35">
      <c r="D532"/>
      <c r="E532"/>
    </row>
    <row r="533" spans="4:5" ht="14.5" x14ac:dyDescent="0.35">
      <c r="D533"/>
      <c r="E533"/>
    </row>
    <row r="534" spans="4:5" ht="14.5" x14ac:dyDescent="0.35">
      <c r="D534"/>
      <c r="E534"/>
    </row>
    <row r="535" spans="4:5" ht="14.5" x14ac:dyDescent="0.35">
      <c r="D535"/>
      <c r="E535"/>
    </row>
    <row r="536" spans="4:5" ht="14.5" x14ac:dyDescent="0.35">
      <c r="D536"/>
      <c r="E536"/>
    </row>
    <row r="537" spans="4:5" ht="14.5" x14ac:dyDescent="0.35">
      <c r="D537"/>
      <c r="E537"/>
    </row>
    <row r="538" spans="4:5" ht="14.5" x14ac:dyDescent="0.35">
      <c r="D538"/>
      <c r="E538"/>
    </row>
    <row r="539" spans="4:5" ht="14.5" x14ac:dyDescent="0.35">
      <c r="D539"/>
      <c r="E539"/>
    </row>
    <row r="540" spans="4:5" ht="14.5" x14ac:dyDescent="0.35">
      <c r="D540"/>
      <c r="E540"/>
    </row>
    <row r="541" spans="4:5" ht="14.5" x14ac:dyDescent="0.35">
      <c r="D541"/>
      <c r="E541"/>
    </row>
    <row r="542" spans="4:5" ht="14.5" x14ac:dyDescent="0.35">
      <c r="D542"/>
      <c r="E542"/>
    </row>
    <row r="543" spans="4:5" ht="14.5" x14ac:dyDescent="0.35">
      <c r="D543"/>
      <c r="E543"/>
    </row>
    <row r="544" spans="4:5" ht="14.5" x14ac:dyDescent="0.35">
      <c r="D544"/>
      <c r="E544"/>
    </row>
    <row r="545" spans="4:5" ht="14.5" x14ac:dyDescent="0.35">
      <c r="D545"/>
      <c r="E545"/>
    </row>
    <row r="546" spans="4:5" ht="14.5" x14ac:dyDescent="0.35">
      <c r="D546"/>
      <c r="E546"/>
    </row>
    <row r="547" spans="4:5" ht="14.5" x14ac:dyDescent="0.35">
      <c r="D547"/>
      <c r="E547"/>
    </row>
    <row r="548" spans="4:5" ht="14.5" x14ac:dyDescent="0.35">
      <c r="D548"/>
      <c r="E548"/>
    </row>
    <row r="549" spans="4:5" ht="14.5" x14ac:dyDescent="0.35">
      <c r="D549"/>
      <c r="E549"/>
    </row>
    <row r="550" spans="4:5" ht="14.5" x14ac:dyDescent="0.35">
      <c r="D550"/>
      <c r="E550"/>
    </row>
    <row r="551" spans="4:5" ht="14.5" x14ac:dyDescent="0.35">
      <c r="D551"/>
      <c r="E551"/>
    </row>
    <row r="552" spans="4:5" ht="14.5" x14ac:dyDescent="0.35">
      <c r="D552"/>
      <c r="E552"/>
    </row>
    <row r="553" spans="4:5" ht="14.5" x14ac:dyDescent="0.35">
      <c r="D553"/>
      <c r="E553"/>
    </row>
    <row r="554" spans="4:5" ht="14.5" x14ac:dyDescent="0.35">
      <c r="D554"/>
      <c r="E554"/>
    </row>
    <row r="555" spans="4:5" ht="14.5" x14ac:dyDescent="0.35">
      <c r="D555"/>
      <c r="E555"/>
    </row>
    <row r="556" spans="4:5" ht="14.5" x14ac:dyDescent="0.35">
      <c r="D556"/>
      <c r="E556"/>
    </row>
    <row r="557" spans="4:5" ht="14.5" x14ac:dyDescent="0.35">
      <c r="D557"/>
      <c r="E557"/>
    </row>
    <row r="558" spans="4:5" ht="14.5" x14ac:dyDescent="0.35">
      <c r="D558"/>
      <c r="E558"/>
    </row>
    <row r="559" spans="4:5" ht="14.5" x14ac:dyDescent="0.35">
      <c r="D559"/>
      <c r="E559"/>
    </row>
    <row r="560" spans="4:5" ht="14.5" x14ac:dyDescent="0.35">
      <c r="D560"/>
      <c r="E560"/>
    </row>
    <row r="561" spans="4:5" ht="14.5" x14ac:dyDescent="0.35">
      <c r="D561"/>
      <c r="E561"/>
    </row>
    <row r="562" spans="4:5" ht="14.5" x14ac:dyDescent="0.35">
      <c r="D562"/>
      <c r="E562"/>
    </row>
    <row r="563" spans="4:5" ht="14.5" x14ac:dyDescent="0.35">
      <c r="D563"/>
      <c r="E563"/>
    </row>
    <row r="564" spans="4:5" ht="14.5" x14ac:dyDescent="0.35">
      <c r="D564"/>
      <c r="E564"/>
    </row>
    <row r="565" spans="4:5" ht="14.5" x14ac:dyDescent="0.35">
      <c r="D565"/>
      <c r="E565"/>
    </row>
    <row r="566" spans="4:5" ht="14.5" x14ac:dyDescent="0.35">
      <c r="D566"/>
      <c r="E566"/>
    </row>
    <row r="567" spans="4:5" ht="14.5" x14ac:dyDescent="0.35">
      <c r="D567"/>
      <c r="E567"/>
    </row>
    <row r="568" spans="4:5" ht="14.5" x14ac:dyDescent="0.35">
      <c r="D568"/>
      <c r="E568"/>
    </row>
    <row r="569" spans="4:5" ht="14.5" x14ac:dyDescent="0.35">
      <c r="D569"/>
      <c r="E569"/>
    </row>
    <row r="570" spans="4:5" ht="14.5" x14ac:dyDescent="0.35">
      <c r="D570"/>
      <c r="E570"/>
    </row>
    <row r="571" spans="4:5" ht="14.5" x14ac:dyDescent="0.35">
      <c r="D571"/>
      <c r="E571"/>
    </row>
    <row r="572" spans="4:5" ht="14.5" x14ac:dyDescent="0.35">
      <c r="D572"/>
      <c r="E572"/>
    </row>
    <row r="573" spans="4:5" ht="14.5" x14ac:dyDescent="0.35">
      <c r="D573"/>
      <c r="E573"/>
    </row>
    <row r="574" spans="4:5" ht="14.5" x14ac:dyDescent="0.35">
      <c r="D574"/>
      <c r="E574"/>
    </row>
    <row r="575" spans="4:5" ht="14.5" x14ac:dyDescent="0.35">
      <c r="D575"/>
      <c r="E575"/>
    </row>
    <row r="576" spans="4:5" ht="14.5" x14ac:dyDescent="0.35">
      <c r="D576"/>
      <c r="E576"/>
    </row>
    <row r="577" spans="4:5" ht="14.5" x14ac:dyDescent="0.35">
      <c r="D577"/>
      <c r="E577"/>
    </row>
    <row r="578" spans="4:5" ht="14.5" x14ac:dyDescent="0.35">
      <c r="D578"/>
      <c r="E578"/>
    </row>
    <row r="579" spans="4:5" ht="14.5" x14ac:dyDescent="0.35">
      <c r="D579"/>
      <c r="E579"/>
    </row>
    <row r="580" spans="4:5" ht="14.5" x14ac:dyDescent="0.35">
      <c r="D580"/>
      <c r="E580"/>
    </row>
    <row r="581" spans="4:5" ht="14.5" x14ac:dyDescent="0.35">
      <c r="D581"/>
      <c r="E581"/>
    </row>
    <row r="582" spans="4:5" ht="14.5" x14ac:dyDescent="0.35">
      <c r="D582"/>
      <c r="E582"/>
    </row>
    <row r="583" spans="4:5" ht="14.5" x14ac:dyDescent="0.35">
      <c r="D583"/>
      <c r="E583"/>
    </row>
    <row r="584" spans="4:5" ht="14.5" x14ac:dyDescent="0.35">
      <c r="D584"/>
      <c r="E584"/>
    </row>
    <row r="585" spans="4:5" ht="14.5" x14ac:dyDescent="0.35">
      <c r="D585"/>
      <c r="E585"/>
    </row>
    <row r="586" spans="4:5" ht="14.5" x14ac:dyDescent="0.35">
      <c r="D586"/>
      <c r="E586"/>
    </row>
    <row r="587" spans="4:5" ht="14.5" x14ac:dyDescent="0.35">
      <c r="D587"/>
      <c r="E587"/>
    </row>
    <row r="588" spans="4:5" ht="14.5" x14ac:dyDescent="0.35">
      <c r="D588"/>
      <c r="E588"/>
    </row>
    <row r="589" spans="4:5" ht="14.5" x14ac:dyDescent="0.35">
      <c r="D589"/>
      <c r="E589"/>
    </row>
    <row r="590" spans="4:5" ht="14.5" x14ac:dyDescent="0.35">
      <c r="D590"/>
      <c r="E590"/>
    </row>
    <row r="591" spans="4:5" ht="14.5" x14ac:dyDescent="0.35">
      <c r="D591"/>
      <c r="E591"/>
    </row>
    <row r="592" spans="4:5" ht="14.5" x14ac:dyDescent="0.35">
      <c r="D592"/>
      <c r="E592"/>
    </row>
    <row r="593" spans="4:5" ht="14.5" x14ac:dyDescent="0.35">
      <c r="D593"/>
      <c r="E593"/>
    </row>
    <row r="594" spans="4:5" ht="14.5" x14ac:dyDescent="0.35">
      <c r="D594"/>
      <c r="E594"/>
    </row>
    <row r="595" spans="4:5" ht="14.5" x14ac:dyDescent="0.35">
      <c r="D595"/>
      <c r="E595"/>
    </row>
    <row r="596" spans="4:5" ht="14.5" x14ac:dyDescent="0.35">
      <c r="D596"/>
      <c r="E596"/>
    </row>
    <row r="597" spans="4:5" ht="14.5" x14ac:dyDescent="0.35">
      <c r="D597"/>
      <c r="E597"/>
    </row>
    <row r="598" spans="4:5" ht="14.5" x14ac:dyDescent="0.35">
      <c r="D598"/>
      <c r="E598"/>
    </row>
    <row r="599" spans="4:5" ht="14.5" x14ac:dyDescent="0.35">
      <c r="D599"/>
      <c r="E599"/>
    </row>
    <row r="600" spans="4:5" ht="14.5" x14ac:dyDescent="0.35">
      <c r="D600"/>
      <c r="E600"/>
    </row>
    <row r="601" spans="4:5" ht="14.5" x14ac:dyDescent="0.35">
      <c r="D601"/>
      <c r="E601"/>
    </row>
    <row r="602" spans="4:5" ht="14.5" x14ac:dyDescent="0.35">
      <c r="D602"/>
      <c r="E602"/>
    </row>
    <row r="603" spans="4:5" ht="14.5" x14ac:dyDescent="0.35">
      <c r="D603"/>
      <c r="E603"/>
    </row>
    <row r="604" spans="4:5" ht="14.5" x14ac:dyDescent="0.35">
      <c r="D604"/>
      <c r="E604"/>
    </row>
    <row r="605" spans="4:5" ht="14.5" x14ac:dyDescent="0.35">
      <c r="D605"/>
      <c r="E605"/>
    </row>
    <row r="606" spans="4:5" ht="14.5" x14ac:dyDescent="0.35">
      <c r="D606"/>
      <c r="E606"/>
    </row>
    <row r="607" spans="4:5" ht="14.5" x14ac:dyDescent="0.35">
      <c r="D607"/>
      <c r="E607"/>
    </row>
    <row r="608" spans="4:5" ht="14.5" x14ac:dyDescent="0.35">
      <c r="D608"/>
      <c r="E608"/>
    </row>
    <row r="609" spans="4:5" ht="14.5" x14ac:dyDescent="0.35">
      <c r="D609"/>
      <c r="E609"/>
    </row>
    <row r="610" spans="4:5" ht="14.5" x14ac:dyDescent="0.35">
      <c r="D610"/>
      <c r="E610"/>
    </row>
    <row r="611" spans="4:5" ht="14.5" x14ac:dyDescent="0.35">
      <c r="D611"/>
      <c r="E611"/>
    </row>
    <row r="612" spans="4:5" ht="14.5" x14ac:dyDescent="0.35">
      <c r="D612"/>
      <c r="E612"/>
    </row>
    <row r="613" spans="4:5" ht="14.5" x14ac:dyDescent="0.35">
      <c r="D613"/>
      <c r="E613"/>
    </row>
    <row r="614" spans="4:5" ht="14.5" x14ac:dyDescent="0.35">
      <c r="D614"/>
      <c r="E614"/>
    </row>
    <row r="615" spans="4:5" ht="14.5" x14ac:dyDescent="0.35">
      <c r="D615"/>
      <c r="E615"/>
    </row>
    <row r="616" spans="4:5" ht="14.5" x14ac:dyDescent="0.35">
      <c r="D616"/>
      <c r="E616"/>
    </row>
    <row r="617" spans="4:5" ht="14.5" x14ac:dyDescent="0.35">
      <c r="D617"/>
      <c r="E617"/>
    </row>
    <row r="618" spans="4:5" ht="14.5" x14ac:dyDescent="0.35">
      <c r="D618"/>
      <c r="E618"/>
    </row>
    <row r="619" spans="4:5" ht="14.5" x14ac:dyDescent="0.35">
      <c r="D619"/>
      <c r="E619"/>
    </row>
    <row r="620" spans="4:5" ht="14.5" x14ac:dyDescent="0.35">
      <c r="D620"/>
      <c r="E620"/>
    </row>
    <row r="621" spans="4:5" ht="14.5" x14ac:dyDescent="0.35">
      <c r="D621"/>
      <c r="E621"/>
    </row>
    <row r="622" spans="4:5" ht="14.5" x14ac:dyDescent="0.35">
      <c r="D622"/>
      <c r="E622"/>
    </row>
    <row r="623" spans="4:5" ht="14.5" x14ac:dyDescent="0.35">
      <c r="D623"/>
      <c r="E623"/>
    </row>
    <row r="624" spans="4:5" ht="14.5" x14ac:dyDescent="0.35">
      <c r="D624"/>
      <c r="E624"/>
    </row>
    <row r="625" spans="4:5" ht="14.5" x14ac:dyDescent="0.35">
      <c r="D625"/>
      <c r="E625"/>
    </row>
    <row r="626" spans="4:5" ht="14.5" x14ac:dyDescent="0.35">
      <c r="D626"/>
      <c r="E626"/>
    </row>
    <row r="627" spans="4:5" ht="14.5" x14ac:dyDescent="0.35">
      <c r="D627"/>
      <c r="E627"/>
    </row>
    <row r="628" spans="4:5" ht="14.5" x14ac:dyDescent="0.35">
      <c r="D628"/>
      <c r="E628"/>
    </row>
    <row r="629" spans="4:5" ht="14.5" x14ac:dyDescent="0.35">
      <c r="D629"/>
      <c r="E629"/>
    </row>
    <row r="630" spans="4:5" ht="14.5" x14ac:dyDescent="0.35">
      <c r="D630"/>
      <c r="E630"/>
    </row>
    <row r="631" spans="4:5" ht="14.5" x14ac:dyDescent="0.35">
      <c r="D631"/>
      <c r="E631"/>
    </row>
    <row r="632" spans="4:5" ht="14.5" x14ac:dyDescent="0.35">
      <c r="D632"/>
      <c r="E632"/>
    </row>
    <row r="633" spans="4:5" ht="14.5" x14ac:dyDescent="0.35">
      <c r="D633"/>
      <c r="E633"/>
    </row>
    <row r="634" spans="4:5" ht="14.5" x14ac:dyDescent="0.35">
      <c r="D634"/>
      <c r="E634"/>
    </row>
    <row r="635" spans="4:5" ht="14.5" x14ac:dyDescent="0.35">
      <c r="D635"/>
      <c r="E635"/>
    </row>
    <row r="636" spans="4:5" ht="14.5" x14ac:dyDescent="0.35">
      <c r="D636"/>
      <c r="E636"/>
    </row>
    <row r="637" spans="4:5" ht="14.5" x14ac:dyDescent="0.35">
      <c r="D637"/>
      <c r="E637"/>
    </row>
    <row r="638" spans="4:5" ht="14.5" x14ac:dyDescent="0.35">
      <c r="D638"/>
      <c r="E638"/>
    </row>
    <row r="639" spans="4:5" ht="14.5" x14ac:dyDescent="0.35">
      <c r="D639"/>
      <c r="E639"/>
    </row>
    <row r="640" spans="4:5" ht="14.5" x14ac:dyDescent="0.35">
      <c r="D640"/>
      <c r="E640"/>
    </row>
    <row r="641" spans="4:5" ht="14.5" x14ac:dyDescent="0.35">
      <c r="D641"/>
      <c r="E641"/>
    </row>
    <row r="642" spans="4:5" ht="14.5" x14ac:dyDescent="0.35">
      <c r="D642"/>
      <c r="E642"/>
    </row>
    <row r="643" spans="4:5" ht="14.5" x14ac:dyDescent="0.35">
      <c r="D643"/>
      <c r="E643"/>
    </row>
    <row r="644" spans="4:5" ht="14.5" x14ac:dyDescent="0.35">
      <c r="D644"/>
      <c r="E644"/>
    </row>
    <row r="645" spans="4:5" ht="14.5" x14ac:dyDescent="0.35">
      <c r="D645"/>
      <c r="E645"/>
    </row>
    <row r="646" spans="4:5" ht="14.5" x14ac:dyDescent="0.35">
      <c r="D646"/>
      <c r="E646"/>
    </row>
    <row r="647" spans="4:5" ht="14.5" x14ac:dyDescent="0.35">
      <c r="D647"/>
      <c r="E647"/>
    </row>
    <row r="648" spans="4:5" ht="14.5" x14ac:dyDescent="0.35">
      <c r="D648"/>
      <c r="E648"/>
    </row>
    <row r="649" spans="4:5" ht="14.5" x14ac:dyDescent="0.35">
      <c r="D649"/>
      <c r="E649"/>
    </row>
    <row r="650" spans="4:5" ht="14.5" x14ac:dyDescent="0.35">
      <c r="D650"/>
      <c r="E650"/>
    </row>
    <row r="651" spans="4:5" ht="14.5" x14ac:dyDescent="0.35">
      <c r="D651"/>
      <c r="E651"/>
    </row>
    <row r="652" spans="4:5" ht="14.5" x14ac:dyDescent="0.35">
      <c r="D652"/>
      <c r="E652"/>
    </row>
    <row r="653" spans="4:5" ht="14.5" x14ac:dyDescent="0.35">
      <c r="D653"/>
      <c r="E653"/>
    </row>
    <row r="654" spans="4:5" ht="14.5" x14ac:dyDescent="0.35">
      <c r="D654"/>
      <c r="E654"/>
    </row>
    <row r="655" spans="4:5" ht="14.5" x14ac:dyDescent="0.35">
      <c r="D655"/>
      <c r="E655"/>
    </row>
    <row r="656" spans="4:5" ht="14.5" x14ac:dyDescent="0.35">
      <c r="D656"/>
      <c r="E656"/>
    </row>
    <row r="657" spans="4:5" ht="14.5" x14ac:dyDescent="0.35">
      <c r="D657"/>
      <c r="E657"/>
    </row>
    <row r="658" spans="4:5" ht="14.5" x14ac:dyDescent="0.35">
      <c r="D658"/>
      <c r="E658"/>
    </row>
    <row r="659" spans="4:5" ht="14.5" x14ac:dyDescent="0.35">
      <c r="D659"/>
      <c r="E659"/>
    </row>
    <row r="660" spans="4:5" ht="14.5" x14ac:dyDescent="0.35">
      <c r="D660"/>
      <c r="E660"/>
    </row>
    <row r="661" spans="4:5" ht="14.5" x14ac:dyDescent="0.35">
      <c r="D661"/>
      <c r="E661"/>
    </row>
    <row r="662" spans="4:5" ht="14.5" x14ac:dyDescent="0.35">
      <c r="D662"/>
      <c r="E662"/>
    </row>
    <row r="663" spans="4:5" ht="14.5" x14ac:dyDescent="0.35">
      <c r="D663"/>
      <c r="E663"/>
    </row>
    <row r="664" spans="4:5" ht="14.5" x14ac:dyDescent="0.35">
      <c r="D664"/>
      <c r="E664"/>
    </row>
    <row r="665" spans="4:5" ht="14.5" x14ac:dyDescent="0.35">
      <c r="D665"/>
      <c r="E665"/>
    </row>
    <row r="666" spans="4:5" ht="14.5" x14ac:dyDescent="0.35">
      <c r="D666"/>
      <c r="E666"/>
    </row>
    <row r="667" spans="4:5" ht="14.5" x14ac:dyDescent="0.35">
      <c r="D667"/>
      <c r="E667"/>
    </row>
    <row r="668" spans="4:5" ht="14.5" x14ac:dyDescent="0.35">
      <c r="D668"/>
      <c r="E668"/>
    </row>
    <row r="669" spans="4:5" ht="14.5" x14ac:dyDescent="0.35">
      <c r="D669"/>
      <c r="E669"/>
    </row>
    <row r="670" spans="4:5" ht="14.5" x14ac:dyDescent="0.35">
      <c r="D670"/>
      <c r="E670"/>
    </row>
    <row r="671" spans="4:5" ht="14.5" x14ac:dyDescent="0.35">
      <c r="D671"/>
      <c r="E671"/>
    </row>
    <row r="672" spans="4:5" ht="14.5" x14ac:dyDescent="0.35">
      <c r="D672"/>
      <c r="E672"/>
    </row>
    <row r="673" spans="4:5" ht="14.5" x14ac:dyDescent="0.35">
      <c r="D673"/>
      <c r="E673"/>
    </row>
    <row r="674" spans="4:5" ht="14.5" x14ac:dyDescent="0.35">
      <c r="D674"/>
      <c r="E674"/>
    </row>
    <row r="675" spans="4:5" ht="14.5" x14ac:dyDescent="0.35">
      <c r="D675"/>
      <c r="E675"/>
    </row>
    <row r="676" spans="4:5" ht="14.5" x14ac:dyDescent="0.35">
      <c r="D676"/>
      <c r="E676"/>
    </row>
    <row r="677" spans="4:5" ht="14.5" x14ac:dyDescent="0.35">
      <c r="D677"/>
      <c r="E677"/>
    </row>
    <row r="678" spans="4:5" ht="14.5" x14ac:dyDescent="0.35">
      <c r="D678"/>
      <c r="E678"/>
    </row>
    <row r="679" spans="4:5" ht="14.5" x14ac:dyDescent="0.35">
      <c r="D679"/>
      <c r="E679"/>
    </row>
    <row r="680" spans="4:5" ht="14.5" x14ac:dyDescent="0.35">
      <c r="D680"/>
      <c r="E680"/>
    </row>
    <row r="681" spans="4:5" ht="14.5" x14ac:dyDescent="0.35">
      <c r="D681"/>
      <c r="E681"/>
    </row>
    <row r="682" spans="4:5" ht="14.5" x14ac:dyDescent="0.35">
      <c r="D682"/>
      <c r="E682"/>
    </row>
    <row r="683" spans="4:5" ht="14.5" x14ac:dyDescent="0.35">
      <c r="D683"/>
      <c r="E683"/>
    </row>
    <row r="684" spans="4:5" ht="14.5" x14ac:dyDescent="0.35">
      <c r="D684"/>
      <c r="E684"/>
    </row>
    <row r="685" spans="4:5" ht="14.5" x14ac:dyDescent="0.35">
      <c r="D685"/>
      <c r="E685"/>
    </row>
    <row r="686" spans="4:5" ht="14.5" x14ac:dyDescent="0.35">
      <c r="D686"/>
      <c r="E686"/>
    </row>
    <row r="687" spans="4:5" ht="14.5" x14ac:dyDescent="0.35">
      <c r="D687"/>
      <c r="E687"/>
    </row>
    <row r="688" spans="4:5" ht="14.5" x14ac:dyDescent="0.35">
      <c r="D688"/>
      <c r="E688"/>
    </row>
    <row r="689" spans="4:5" ht="14.5" x14ac:dyDescent="0.35">
      <c r="D689"/>
      <c r="E689"/>
    </row>
    <row r="690" spans="4:5" ht="14.5" x14ac:dyDescent="0.35">
      <c r="D690"/>
      <c r="E690"/>
    </row>
    <row r="691" spans="4:5" ht="14.5" x14ac:dyDescent="0.35">
      <c r="D691"/>
      <c r="E691"/>
    </row>
    <row r="692" spans="4:5" ht="14.5" x14ac:dyDescent="0.35">
      <c r="D692"/>
      <c r="E692"/>
    </row>
    <row r="693" spans="4:5" ht="14.5" x14ac:dyDescent="0.35">
      <c r="D693"/>
      <c r="E693"/>
    </row>
    <row r="694" spans="4:5" ht="14.5" x14ac:dyDescent="0.35">
      <c r="D694"/>
      <c r="E694"/>
    </row>
    <row r="695" spans="4:5" ht="14.5" x14ac:dyDescent="0.35">
      <c r="D695"/>
      <c r="E695"/>
    </row>
    <row r="696" spans="4:5" ht="14.5" x14ac:dyDescent="0.35">
      <c r="D696"/>
      <c r="E696"/>
    </row>
    <row r="697" spans="4:5" ht="14.5" x14ac:dyDescent="0.35">
      <c r="D697"/>
      <c r="E697"/>
    </row>
    <row r="698" spans="4:5" ht="14.5" x14ac:dyDescent="0.35">
      <c r="D698"/>
      <c r="E698"/>
    </row>
    <row r="699" spans="4:5" ht="14.5" x14ac:dyDescent="0.35">
      <c r="D699"/>
      <c r="E699"/>
    </row>
    <row r="700" spans="4:5" ht="14.5" x14ac:dyDescent="0.35">
      <c r="D700"/>
      <c r="E700"/>
    </row>
    <row r="701" spans="4:5" ht="14.5" x14ac:dyDescent="0.35">
      <c r="D701"/>
      <c r="E701"/>
    </row>
    <row r="702" spans="4:5" ht="14.5" x14ac:dyDescent="0.35">
      <c r="D702"/>
      <c r="E702"/>
    </row>
    <row r="703" spans="4:5" ht="14.5" x14ac:dyDescent="0.35">
      <c r="D703"/>
      <c r="E703"/>
    </row>
    <row r="704" spans="4:5" ht="14.5" x14ac:dyDescent="0.35">
      <c r="D704"/>
      <c r="E704"/>
    </row>
    <row r="705" spans="4:5" ht="14.5" x14ac:dyDescent="0.35">
      <c r="D705"/>
      <c r="E705"/>
    </row>
    <row r="706" spans="4:5" ht="14.5" x14ac:dyDescent="0.35">
      <c r="D706"/>
      <c r="E706"/>
    </row>
    <row r="707" spans="4:5" ht="14.5" x14ac:dyDescent="0.35">
      <c r="D707"/>
      <c r="E707"/>
    </row>
    <row r="708" spans="4:5" ht="14.5" x14ac:dyDescent="0.35">
      <c r="D708"/>
      <c r="E708"/>
    </row>
    <row r="709" spans="4:5" ht="14.5" x14ac:dyDescent="0.35">
      <c r="D709"/>
      <c r="E709"/>
    </row>
    <row r="710" spans="4:5" ht="14.5" x14ac:dyDescent="0.35">
      <c r="D710"/>
      <c r="E710"/>
    </row>
    <row r="711" spans="4:5" ht="14.5" x14ac:dyDescent="0.35">
      <c r="D711"/>
      <c r="E711"/>
    </row>
    <row r="712" spans="4:5" ht="14.5" x14ac:dyDescent="0.35">
      <c r="D712"/>
      <c r="E712"/>
    </row>
    <row r="713" spans="4:5" ht="14.5" x14ac:dyDescent="0.35">
      <c r="D713"/>
      <c r="E713"/>
    </row>
    <row r="714" spans="4:5" ht="14.5" x14ac:dyDescent="0.35">
      <c r="D714"/>
      <c r="E714"/>
    </row>
    <row r="715" spans="4:5" ht="14.5" x14ac:dyDescent="0.35">
      <c r="D715"/>
      <c r="E715"/>
    </row>
    <row r="716" spans="4:5" ht="14.5" x14ac:dyDescent="0.35">
      <c r="D716"/>
      <c r="E716"/>
    </row>
    <row r="717" spans="4:5" ht="14.5" x14ac:dyDescent="0.35">
      <c r="D717"/>
      <c r="E717"/>
    </row>
    <row r="718" spans="4:5" ht="14.5" x14ac:dyDescent="0.35">
      <c r="D718"/>
      <c r="E718"/>
    </row>
    <row r="719" spans="4:5" ht="14.5" x14ac:dyDescent="0.35">
      <c r="D719"/>
      <c r="E719"/>
    </row>
    <row r="720" spans="4:5" ht="14.5" x14ac:dyDescent="0.35">
      <c r="D720"/>
      <c r="E720"/>
    </row>
    <row r="721" spans="4:5" ht="14.5" x14ac:dyDescent="0.35">
      <c r="D721"/>
      <c r="E721"/>
    </row>
    <row r="722" spans="4:5" ht="14.5" x14ac:dyDescent="0.35">
      <c r="D722"/>
      <c r="E722"/>
    </row>
    <row r="723" spans="4:5" ht="14.5" x14ac:dyDescent="0.35">
      <c r="D723"/>
      <c r="E723"/>
    </row>
    <row r="724" spans="4:5" ht="14.5" x14ac:dyDescent="0.35">
      <c r="D724"/>
      <c r="E724"/>
    </row>
    <row r="725" spans="4:5" ht="14.5" x14ac:dyDescent="0.35">
      <c r="D725"/>
      <c r="E725"/>
    </row>
    <row r="726" spans="4:5" ht="14.5" x14ac:dyDescent="0.35">
      <c r="D726"/>
      <c r="E726"/>
    </row>
    <row r="727" spans="4:5" ht="14.5" x14ac:dyDescent="0.35">
      <c r="D727"/>
      <c r="E727"/>
    </row>
    <row r="728" spans="4:5" ht="14.5" x14ac:dyDescent="0.35">
      <c r="D728"/>
      <c r="E728"/>
    </row>
    <row r="729" spans="4:5" ht="14.5" x14ac:dyDescent="0.35">
      <c r="D729"/>
      <c r="E729"/>
    </row>
    <row r="730" spans="4:5" ht="14.5" x14ac:dyDescent="0.35">
      <c r="D730"/>
      <c r="E730"/>
    </row>
    <row r="731" spans="4:5" ht="14.5" x14ac:dyDescent="0.35">
      <c r="D731"/>
      <c r="E731"/>
    </row>
    <row r="732" spans="4:5" ht="14.5" x14ac:dyDescent="0.35">
      <c r="D732"/>
      <c r="E732"/>
    </row>
    <row r="733" spans="4:5" ht="14.5" x14ac:dyDescent="0.35">
      <c r="D733"/>
      <c r="E733"/>
    </row>
    <row r="734" spans="4:5" ht="14.5" x14ac:dyDescent="0.35">
      <c r="D734"/>
      <c r="E734"/>
    </row>
    <row r="735" spans="4:5" ht="14.5" x14ac:dyDescent="0.35">
      <c r="D735"/>
      <c r="E735"/>
    </row>
    <row r="736" spans="4:5" ht="14.5" x14ac:dyDescent="0.35">
      <c r="D736"/>
      <c r="E736"/>
    </row>
    <row r="737" spans="4:5" ht="14.5" x14ac:dyDescent="0.35">
      <c r="D737"/>
      <c r="E737"/>
    </row>
    <row r="738" spans="4:5" ht="14.5" x14ac:dyDescent="0.35">
      <c r="D738"/>
      <c r="E738"/>
    </row>
    <row r="739" spans="4:5" ht="14.5" x14ac:dyDescent="0.35">
      <c r="D739"/>
      <c r="E739"/>
    </row>
    <row r="740" spans="4:5" ht="14.5" x14ac:dyDescent="0.35">
      <c r="D740"/>
      <c r="E740"/>
    </row>
    <row r="741" spans="4:5" ht="14.5" x14ac:dyDescent="0.35">
      <c r="D741"/>
      <c r="E741"/>
    </row>
    <row r="742" spans="4:5" ht="14.5" x14ac:dyDescent="0.35">
      <c r="D742"/>
      <c r="E742"/>
    </row>
    <row r="743" spans="4:5" ht="14.5" x14ac:dyDescent="0.35">
      <c r="D743"/>
      <c r="E743"/>
    </row>
    <row r="744" spans="4:5" ht="14.5" x14ac:dyDescent="0.35">
      <c r="D744"/>
      <c r="E744"/>
    </row>
    <row r="745" spans="4:5" ht="14.5" x14ac:dyDescent="0.35">
      <c r="D745"/>
      <c r="E745"/>
    </row>
    <row r="746" spans="4:5" ht="14.5" x14ac:dyDescent="0.35">
      <c r="D746"/>
      <c r="E746"/>
    </row>
    <row r="747" spans="4:5" ht="14.5" x14ac:dyDescent="0.35">
      <c r="D747"/>
      <c r="E747"/>
    </row>
    <row r="748" spans="4:5" ht="14.5" x14ac:dyDescent="0.35">
      <c r="D748"/>
      <c r="E748"/>
    </row>
    <row r="749" spans="4:5" ht="14.5" x14ac:dyDescent="0.35">
      <c r="D749"/>
      <c r="E749"/>
    </row>
    <row r="750" spans="4:5" ht="14.5" x14ac:dyDescent="0.35">
      <c r="D750"/>
      <c r="E750"/>
    </row>
    <row r="751" spans="4:5" ht="14.5" x14ac:dyDescent="0.35">
      <c r="D751"/>
      <c r="E751"/>
    </row>
    <row r="752" spans="4:5" ht="14.5" x14ac:dyDescent="0.35">
      <c r="D752"/>
      <c r="E752"/>
    </row>
    <row r="753" spans="4:5" ht="14.5" x14ac:dyDescent="0.35">
      <c r="D753"/>
      <c r="E753"/>
    </row>
    <row r="754" spans="4:5" ht="14.5" x14ac:dyDescent="0.35">
      <c r="D754"/>
      <c r="E754"/>
    </row>
    <row r="755" spans="4:5" ht="14.5" x14ac:dyDescent="0.35">
      <c r="D755"/>
      <c r="E755"/>
    </row>
    <row r="756" spans="4:5" ht="14.5" x14ac:dyDescent="0.35">
      <c r="D756"/>
      <c r="E756"/>
    </row>
    <row r="757" spans="4:5" ht="14.5" x14ac:dyDescent="0.35">
      <c r="D757"/>
      <c r="E757"/>
    </row>
    <row r="758" spans="4:5" ht="14.5" x14ac:dyDescent="0.35">
      <c r="D758"/>
      <c r="E758"/>
    </row>
    <row r="759" spans="4:5" ht="14.5" x14ac:dyDescent="0.35">
      <c r="D759"/>
      <c r="E759"/>
    </row>
    <row r="760" spans="4:5" ht="14.5" x14ac:dyDescent="0.35">
      <c r="D760"/>
      <c r="E760"/>
    </row>
    <row r="761" spans="4:5" ht="14.5" x14ac:dyDescent="0.35">
      <c r="D761"/>
      <c r="E761"/>
    </row>
    <row r="762" spans="4:5" ht="14.5" x14ac:dyDescent="0.35">
      <c r="D762"/>
      <c r="E762"/>
    </row>
    <row r="763" spans="4:5" ht="14.5" x14ac:dyDescent="0.35">
      <c r="D763"/>
      <c r="E763"/>
    </row>
    <row r="764" spans="4:5" ht="14.5" x14ac:dyDescent="0.35">
      <c r="D764"/>
      <c r="E764"/>
    </row>
    <row r="765" spans="4:5" ht="14.5" x14ac:dyDescent="0.35">
      <c r="D765"/>
      <c r="E765"/>
    </row>
    <row r="766" spans="4:5" ht="14.5" x14ac:dyDescent="0.35">
      <c r="D766"/>
      <c r="E766"/>
    </row>
    <row r="767" spans="4:5" ht="14.5" x14ac:dyDescent="0.35">
      <c r="D767"/>
      <c r="E767"/>
    </row>
    <row r="768" spans="4:5" ht="14.5" x14ac:dyDescent="0.35">
      <c r="D768"/>
      <c r="E768"/>
    </row>
    <row r="769" spans="4:5" ht="14.5" x14ac:dyDescent="0.35">
      <c r="D769"/>
      <c r="E769"/>
    </row>
    <row r="770" spans="4:5" ht="14.5" x14ac:dyDescent="0.35">
      <c r="D770"/>
      <c r="E770"/>
    </row>
    <row r="771" spans="4:5" ht="14.5" x14ac:dyDescent="0.35">
      <c r="D771"/>
      <c r="E771"/>
    </row>
    <row r="772" spans="4:5" ht="14.5" x14ac:dyDescent="0.35">
      <c r="D772"/>
      <c r="E772"/>
    </row>
    <row r="773" spans="4:5" ht="14.5" x14ac:dyDescent="0.35">
      <c r="D773"/>
      <c r="E773"/>
    </row>
    <row r="774" spans="4:5" ht="14.5" x14ac:dyDescent="0.35">
      <c r="D774"/>
      <c r="E774"/>
    </row>
    <row r="775" spans="4:5" ht="14.5" x14ac:dyDescent="0.35">
      <c r="D775"/>
      <c r="E775"/>
    </row>
    <row r="776" spans="4:5" ht="14.5" x14ac:dyDescent="0.35">
      <c r="D776"/>
      <c r="E776"/>
    </row>
    <row r="777" spans="4:5" ht="14.5" x14ac:dyDescent="0.35">
      <c r="D777"/>
      <c r="E777"/>
    </row>
    <row r="778" spans="4:5" ht="14.5" x14ac:dyDescent="0.35">
      <c r="D778"/>
      <c r="E778"/>
    </row>
    <row r="779" spans="4:5" ht="14.5" x14ac:dyDescent="0.35">
      <c r="D779"/>
      <c r="E779"/>
    </row>
    <row r="780" spans="4:5" ht="14.5" x14ac:dyDescent="0.35">
      <c r="D780"/>
      <c r="E780"/>
    </row>
    <row r="781" spans="4:5" ht="14.5" x14ac:dyDescent="0.35">
      <c r="D781"/>
      <c r="E781"/>
    </row>
    <row r="782" spans="4:5" ht="14.5" x14ac:dyDescent="0.35">
      <c r="D782"/>
      <c r="E782"/>
    </row>
    <row r="783" spans="4:5" ht="14.5" x14ac:dyDescent="0.35">
      <c r="D783"/>
      <c r="E783"/>
    </row>
    <row r="784" spans="4:5" ht="14.5" x14ac:dyDescent="0.35">
      <c r="D784"/>
      <c r="E784"/>
    </row>
    <row r="785" spans="4:5" ht="14.5" x14ac:dyDescent="0.35">
      <c r="D785"/>
      <c r="E785"/>
    </row>
    <row r="786" spans="4:5" ht="14.5" x14ac:dyDescent="0.35">
      <c r="D786"/>
      <c r="E786"/>
    </row>
    <row r="787" spans="4:5" ht="14.5" x14ac:dyDescent="0.35">
      <c r="D787"/>
      <c r="E787"/>
    </row>
    <row r="788" spans="4:5" ht="14.5" x14ac:dyDescent="0.35">
      <c r="D788"/>
      <c r="E788"/>
    </row>
    <row r="789" spans="4:5" ht="14.5" x14ac:dyDescent="0.35">
      <c r="D789"/>
      <c r="E789"/>
    </row>
    <row r="790" spans="4:5" ht="14.5" x14ac:dyDescent="0.35">
      <c r="D790"/>
      <c r="E790"/>
    </row>
    <row r="791" spans="4:5" ht="14.5" x14ac:dyDescent="0.35">
      <c r="D791"/>
      <c r="E791"/>
    </row>
    <row r="792" spans="4:5" ht="14.5" x14ac:dyDescent="0.35">
      <c r="D792"/>
      <c r="E792"/>
    </row>
    <row r="793" spans="4:5" ht="14.5" x14ac:dyDescent="0.35">
      <c r="D793"/>
      <c r="E793"/>
    </row>
    <row r="794" spans="4:5" ht="14.5" x14ac:dyDescent="0.35">
      <c r="D794"/>
      <c r="E794"/>
    </row>
    <row r="795" spans="4:5" ht="14.5" x14ac:dyDescent="0.35">
      <c r="D795"/>
      <c r="E795"/>
    </row>
    <row r="796" spans="4:5" ht="14.5" x14ac:dyDescent="0.35">
      <c r="D796"/>
      <c r="E796"/>
    </row>
    <row r="797" spans="4:5" ht="14.5" x14ac:dyDescent="0.35">
      <c r="D797"/>
      <c r="E797"/>
    </row>
    <row r="798" spans="4:5" ht="14.5" x14ac:dyDescent="0.35">
      <c r="D798"/>
      <c r="E798"/>
    </row>
    <row r="799" spans="4:5" ht="14.5" x14ac:dyDescent="0.35">
      <c r="D799"/>
      <c r="E799"/>
    </row>
    <row r="800" spans="4:5" ht="14.5" x14ac:dyDescent="0.35">
      <c r="D800"/>
      <c r="E800"/>
    </row>
    <row r="801" spans="4:5" ht="14.5" x14ac:dyDescent="0.35">
      <c r="D801"/>
      <c r="E801"/>
    </row>
    <row r="802" spans="4:5" ht="14.5" x14ac:dyDescent="0.35">
      <c r="D802"/>
      <c r="E802"/>
    </row>
    <row r="803" spans="4:5" ht="14.5" x14ac:dyDescent="0.35">
      <c r="D803"/>
      <c r="E803"/>
    </row>
    <row r="804" spans="4:5" ht="14.5" x14ac:dyDescent="0.35">
      <c r="D804"/>
      <c r="E804"/>
    </row>
    <row r="805" spans="4:5" ht="14.5" x14ac:dyDescent="0.35">
      <c r="D805"/>
      <c r="E805"/>
    </row>
    <row r="806" spans="4:5" ht="14.5" x14ac:dyDescent="0.35">
      <c r="D806"/>
      <c r="E806"/>
    </row>
    <row r="807" spans="4:5" ht="14.5" x14ac:dyDescent="0.35">
      <c r="D807"/>
      <c r="E807"/>
    </row>
    <row r="808" spans="4:5" ht="14.5" x14ac:dyDescent="0.35">
      <c r="D808"/>
      <c r="E808"/>
    </row>
    <row r="809" spans="4:5" ht="14.5" x14ac:dyDescent="0.35">
      <c r="D809"/>
      <c r="E809"/>
    </row>
    <row r="810" spans="4:5" ht="14.5" x14ac:dyDescent="0.35">
      <c r="D810"/>
      <c r="E810"/>
    </row>
    <row r="811" spans="4:5" ht="14.5" x14ac:dyDescent="0.35">
      <c r="D811"/>
      <c r="E811"/>
    </row>
    <row r="812" spans="4:5" ht="14.5" x14ac:dyDescent="0.35">
      <c r="D812"/>
      <c r="E812"/>
    </row>
    <row r="813" spans="4:5" ht="14.5" x14ac:dyDescent="0.35">
      <c r="D813"/>
      <c r="E813"/>
    </row>
    <row r="814" spans="4:5" ht="14.5" x14ac:dyDescent="0.35">
      <c r="D814"/>
      <c r="E814"/>
    </row>
    <row r="815" spans="4:5" ht="14.5" x14ac:dyDescent="0.35">
      <c r="D815"/>
      <c r="E815"/>
    </row>
    <row r="816" spans="4:5" ht="14.5" x14ac:dyDescent="0.35">
      <c r="D816"/>
      <c r="E816"/>
    </row>
    <row r="817" spans="4:5" ht="14.5" x14ac:dyDescent="0.35">
      <c r="D817"/>
      <c r="E817"/>
    </row>
    <row r="818" spans="4:5" ht="14.5" x14ac:dyDescent="0.35">
      <c r="D818"/>
      <c r="E818"/>
    </row>
    <row r="819" spans="4:5" ht="14.5" x14ac:dyDescent="0.35">
      <c r="D819"/>
      <c r="E819"/>
    </row>
    <row r="820" spans="4:5" ht="14.5" x14ac:dyDescent="0.35">
      <c r="D820"/>
      <c r="E820"/>
    </row>
    <row r="821" spans="4:5" ht="14.5" x14ac:dyDescent="0.35">
      <c r="D821"/>
      <c r="E821"/>
    </row>
    <row r="822" spans="4:5" ht="14.5" x14ac:dyDescent="0.35">
      <c r="D822"/>
      <c r="E822"/>
    </row>
    <row r="823" spans="4:5" ht="14.5" x14ac:dyDescent="0.35">
      <c r="D823"/>
      <c r="E823"/>
    </row>
    <row r="824" spans="4:5" ht="14.5" x14ac:dyDescent="0.35">
      <c r="D824"/>
      <c r="E824"/>
    </row>
    <row r="825" spans="4:5" ht="14.5" x14ac:dyDescent="0.35">
      <c r="D825"/>
      <c r="E825"/>
    </row>
    <row r="826" spans="4:5" ht="14.5" x14ac:dyDescent="0.35">
      <c r="D826"/>
      <c r="E826"/>
    </row>
    <row r="827" spans="4:5" ht="14.5" x14ac:dyDescent="0.35">
      <c r="D827"/>
      <c r="E827"/>
    </row>
    <row r="828" spans="4:5" ht="14.5" x14ac:dyDescent="0.35">
      <c r="D828"/>
      <c r="E828"/>
    </row>
    <row r="829" spans="4:5" ht="14.5" x14ac:dyDescent="0.35">
      <c r="D829"/>
      <c r="E829"/>
    </row>
    <row r="830" spans="4:5" ht="14.5" x14ac:dyDescent="0.35">
      <c r="D830"/>
      <c r="E830"/>
    </row>
    <row r="831" spans="4:5" ht="14.5" x14ac:dyDescent="0.35">
      <c r="D831"/>
      <c r="E831"/>
    </row>
    <row r="832" spans="4:5" ht="14.5" x14ac:dyDescent="0.35">
      <c r="D832"/>
      <c r="E832"/>
    </row>
    <row r="833" spans="4:5" ht="14.5" x14ac:dyDescent="0.35">
      <c r="D833"/>
      <c r="E833"/>
    </row>
    <row r="834" spans="4:5" ht="14.5" x14ac:dyDescent="0.35">
      <c r="D834"/>
      <c r="E834"/>
    </row>
    <row r="835" spans="4:5" ht="14.5" x14ac:dyDescent="0.35">
      <c r="D835"/>
      <c r="E835"/>
    </row>
    <row r="836" spans="4:5" ht="14.5" x14ac:dyDescent="0.35">
      <c r="D836"/>
      <c r="E836"/>
    </row>
    <row r="837" spans="4:5" ht="14.5" x14ac:dyDescent="0.35">
      <c r="D837"/>
      <c r="E837"/>
    </row>
    <row r="838" spans="4:5" ht="14.5" x14ac:dyDescent="0.35">
      <c r="D838"/>
      <c r="E838"/>
    </row>
    <row r="839" spans="4:5" ht="14.5" x14ac:dyDescent="0.35">
      <c r="D839"/>
      <c r="E839"/>
    </row>
    <row r="840" spans="4:5" ht="14.5" x14ac:dyDescent="0.35">
      <c r="D840"/>
      <c r="E840"/>
    </row>
    <row r="841" spans="4:5" ht="14.5" x14ac:dyDescent="0.35">
      <c r="D841"/>
      <c r="E841"/>
    </row>
    <row r="842" spans="4:5" ht="14.5" x14ac:dyDescent="0.35">
      <c r="D842"/>
      <c r="E842"/>
    </row>
    <row r="843" spans="4:5" ht="14.5" x14ac:dyDescent="0.35">
      <c r="D843"/>
      <c r="E843"/>
    </row>
    <row r="844" spans="4:5" ht="14.5" x14ac:dyDescent="0.35">
      <c r="D844"/>
      <c r="E844"/>
    </row>
    <row r="845" spans="4:5" ht="14.5" x14ac:dyDescent="0.35">
      <c r="D845"/>
      <c r="E845"/>
    </row>
    <row r="846" spans="4:5" ht="14.5" x14ac:dyDescent="0.35">
      <c r="D846"/>
      <c r="E846"/>
    </row>
    <row r="847" spans="4:5" ht="14.5" x14ac:dyDescent="0.35">
      <c r="D847"/>
      <c r="E847"/>
    </row>
    <row r="848" spans="4:5" ht="14.5" x14ac:dyDescent="0.35">
      <c r="D848"/>
      <c r="E848"/>
    </row>
    <row r="849" spans="4:5" ht="14.5" x14ac:dyDescent="0.35">
      <c r="D849"/>
      <c r="E849"/>
    </row>
    <row r="850" spans="4:5" ht="14.5" x14ac:dyDescent="0.35">
      <c r="D850"/>
      <c r="E850"/>
    </row>
    <row r="851" spans="4:5" ht="14.5" x14ac:dyDescent="0.35">
      <c r="D851"/>
      <c r="E851"/>
    </row>
    <row r="852" spans="4:5" ht="14.5" x14ac:dyDescent="0.35">
      <c r="D852"/>
      <c r="E852"/>
    </row>
    <row r="853" spans="4:5" ht="14.5" x14ac:dyDescent="0.35">
      <c r="D853"/>
      <c r="E853"/>
    </row>
    <row r="854" spans="4:5" ht="14.5" x14ac:dyDescent="0.35">
      <c r="D854"/>
      <c r="E854"/>
    </row>
    <row r="855" spans="4:5" ht="14.5" x14ac:dyDescent="0.35">
      <c r="D855"/>
      <c r="E855"/>
    </row>
    <row r="856" spans="4:5" ht="14.5" x14ac:dyDescent="0.35">
      <c r="D856"/>
      <c r="E856"/>
    </row>
    <row r="857" spans="4:5" ht="14.5" x14ac:dyDescent="0.35">
      <c r="D857"/>
      <c r="E857"/>
    </row>
    <row r="858" spans="4:5" ht="14.5" x14ac:dyDescent="0.35">
      <c r="D858"/>
      <c r="E858"/>
    </row>
    <row r="859" spans="4:5" ht="14.5" x14ac:dyDescent="0.35">
      <c r="D859"/>
      <c r="E859"/>
    </row>
    <row r="860" spans="4:5" ht="14.5" x14ac:dyDescent="0.35">
      <c r="D860"/>
      <c r="E860"/>
    </row>
    <row r="861" spans="4:5" ht="14.5" x14ac:dyDescent="0.35">
      <c r="D861"/>
      <c r="E861"/>
    </row>
    <row r="862" spans="4:5" ht="14.5" x14ac:dyDescent="0.35">
      <c r="D862"/>
      <c r="E862"/>
    </row>
    <row r="863" spans="4:5" ht="14.5" x14ac:dyDescent="0.35">
      <c r="D863"/>
      <c r="E863"/>
    </row>
    <row r="864" spans="4:5" ht="14.5" x14ac:dyDescent="0.35">
      <c r="D864"/>
      <c r="E864"/>
    </row>
    <row r="865" spans="4:5" ht="14.5" x14ac:dyDescent="0.35">
      <c r="D865"/>
      <c r="E865"/>
    </row>
    <row r="866" spans="4:5" ht="14.5" x14ac:dyDescent="0.35">
      <c r="D866"/>
      <c r="E866"/>
    </row>
    <row r="867" spans="4:5" ht="14.5" x14ac:dyDescent="0.35">
      <c r="D867"/>
      <c r="E867"/>
    </row>
    <row r="868" spans="4:5" ht="14.5" x14ac:dyDescent="0.35">
      <c r="D868"/>
      <c r="E868"/>
    </row>
    <row r="869" spans="4:5" ht="14.5" x14ac:dyDescent="0.35">
      <c r="D869"/>
      <c r="E869"/>
    </row>
    <row r="870" spans="4:5" ht="14.5" x14ac:dyDescent="0.35">
      <c r="D870"/>
      <c r="E870"/>
    </row>
    <row r="871" spans="4:5" ht="14.5" x14ac:dyDescent="0.35">
      <c r="D871"/>
      <c r="E871"/>
    </row>
    <row r="872" spans="4:5" ht="14.5" x14ac:dyDescent="0.35">
      <c r="D872"/>
      <c r="E872"/>
    </row>
    <row r="873" spans="4:5" ht="14.5" x14ac:dyDescent="0.35">
      <c r="D873"/>
      <c r="E873"/>
    </row>
    <row r="874" spans="4:5" ht="14.5" x14ac:dyDescent="0.35">
      <c r="D874"/>
      <c r="E874"/>
    </row>
    <row r="875" spans="4:5" ht="14.5" x14ac:dyDescent="0.35">
      <c r="D875"/>
      <c r="E875"/>
    </row>
    <row r="876" spans="4:5" ht="14.5" x14ac:dyDescent="0.35">
      <c r="D876"/>
      <c r="E876"/>
    </row>
    <row r="877" spans="4:5" ht="14.5" x14ac:dyDescent="0.35">
      <c r="D877"/>
      <c r="E877"/>
    </row>
    <row r="878" spans="4:5" ht="14.5" x14ac:dyDescent="0.35">
      <c r="D878"/>
      <c r="E878"/>
    </row>
    <row r="879" spans="4:5" ht="14.5" x14ac:dyDescent="0.35">
      <c r="D879"/>
      <c r="E879"/>
    </row>
    <row r="880" spans="4:5" ht="14.5" x14ac:dyDescent="0.35">
      <c r="D880"/>
      <c r="E880"/>
    </row>
    <row r="881" spans="4:5" ht="14.5" x14ac:dyDescent="0.35">
      <c r="D881"/>
      <c r="E881"/>
    </row>
    <row r="882" spans="4:5" ht="14.5" x14ac:dyDescent="0.35">
      <c r="D882"/>
      <c r="E882"/>
    </row>
    <row r="883" spans="4:5" ht="14.5" x14ac:dyDescent="0.35">
      <c r="D883"/>
      <c r="E883"/>
    </row>
    <row r="884" spans="4:5" ht="14.5" x14ac:dyDescent="0.35">
      <c r="D884"/>
      <c r="E884"/>
    </row>
    <row r="885" spans="4:5" ht="14.5" x14ac:dyDescent="0.35">
      <c r="D885"/>
      <c r="E885"/>
    </row>
    <row r="886" spans="4:5" ht="14.5" x14ac:dyDescent="0.35">
      <c r="D886"/>
      <c r="E886"/>
    </row>
    <row r="887" spans="4:5" ht="14.5" x14ac:dyDescent="0.35">
      <c r="D887"/>
      <c r="E887"/>
    </row>
    <row r="888" spans="4:5" ht="14.5" x14ac:dyDescent="0.35">
      <c r="D888"/>
      <c r="E888"/>
    </row>
    <row r="889" spans="4:5" ht="14.5" x14ac:dyDescent="0.35">
      <c r="D889"/>
      <c r="E889"/>
    </row>
    <row r="890" spans="4:5" ht="14.5" x14ac:dyDescent="0.35">
      <c r="D890"/>
      <c r="E890"/>
    </row>
    <row r="891" spans="4:5" ht="14.5" x14ac:dyDescent="0.35">
      <c r="D891"/>
      <c r="E891"/>
    </row>
    <row r="892" spans="4:5" ht="14.5" x14ac:dyDescent="0.35">
      <c r="D892"/>
      <c r="E892"/>
    </row>
    <row r="893" spans="4:5" ht="14.5" x14ac:dyDescent="0.35">
      <c r="D893"/>
      <c r="E893"/>
    </row>
    <row r="894" spans="4:5" ht="14.5" x14ac:dyDescent="0.35">
      <c r="D894"/>
      <c r="E894"/>
    </row>
    <row r="895" spans="4:5" ht="14.5" x14ac:dyDescent="0.35">
      <c r="D895"/>
      <c r="E895"/>
    </row>
    <row r="896" spans="4:5" ht="14.5" x14ac:dyDescent="0.35">
      <c r="D896"/>
      <c r="E896"/>
    </row>
    <row r="897" spans="4:5" ht="14.5" x14ac:dyDescent="0.35">
      <c r="D897"/>
      <c r="E897"/>
    </row>
    <row r="898" spans="4:5" ht="14.5" x14ac:dyDescent="0.35">
      <c r="D898"/>
      <c r="E898"/>
    </row>
    <row r="899" spans="4:5" ht="14.5" x14ac:dyDescent="0.35">
      <c r="D899"/>
      <c r="E899"/>
    </row>
    <row r="900" spans="4:5" ht="14.5" x14ac:dyDescent="0.35">
      <c r="D900"/>
      <c r="E900"/>
    </row>
    <row r="901" spans="4:5" ht="14.5" x14ac:dyDescent="0.35">
      <c r="D901"/>
      <c r="E901"/>
    </row>
    <row r="902" spans="4:5" ht="14.5" x14ac:dyDescent="0.35">
      <c r="D902"/>
      <c r="E902"/>
    </row>
    <row r="903" spans="4:5" ht="14.5" x14ac:dyDescent="0.35">
      <c r="D903"/>
      <c r="E903"/>
    </row>
    <row r="904" spans="4:5" ht="14.5" x14ac:dyDescent="0.35">
      <c r="D904"/>
      <c r="E904"/>
    </row>
    <row r="905" spans="4:5" ht="14.5" x14ac:dyDescent="0.35">
      <c r="D905"/>
      <c r="E905"/>
    </row>
    <row r="906" spans="4:5" ht="14.5" x14ac:dyDescent="0.35">
      <c r="D906"/>
      <c r="E906"/>
    </row>
    <row r="907" spans="4:5" ht="14.5" x14ac:dyDescent="0.35">
      <c r="D907"/>
      <c r="E907"/>
    </row>
    <row r="908" spans="4:5" ht="14.5" x14ac:dyDescent="0.35">
      <c r="D908"/>
      <c r="E908"/>
    </row>
    <row r="909" spans="4:5" ht="14.5" x14ac:dyDescent="0.35">
      <c r="D909"/>
      <c r="E909"/>
    </row>
    <row r="910" spans="4:5" ht="14.5" x14ac:dyDescent="0.35">
      <c r="D910"/>
      <c r="E910"/>
    </row>
    <row r="911" spans="4:5" ht="14.5" x14ac:dyDescent="0.35">
      <c r="D911"/>
      <c r="E911"/>
    </row>
    <row r="912" spans="4:5" ht="14.5" x14ac:dyDescent="0.35">
      <c r="D912"/>
      <c r="E912"/>
    </row>
    <row r="913" spans="4:5" ht="14.5" x14ac:dyDescent="0.35">
      <c r="D913"/>
      <c r="E913"/>
    </row>
    <row r="914" spans="4:5" ht="14.5" x14ac:dyDescent="0.35">
      <c r="D914"/>
      <c r="E914"/>
    </row>
    <row r="915" spans="4:5" ht="14.5" x14ac:dyDescent="0.35">
      <c r="D915"/>
      <c r="E915"/>
    </row>
    <row r="916" spans="4:5" ht="14.5" x14ac:dyDescent="0.35">
      <c r="D916"/>
      <c r="E916"/>
    </row>
    <row r="917" spans="4:5" ht="14.5" x14ac:dyDescent="0.35">
      <c r="D917"/>
      <c r="E917"/>
    </row>
    <row r="918" spans="4:5" ht="14.5" x14ac:dyDescent="0.35">
      <c r="D918"/>
      <c r="E918"/>
    </row>
    <row r="919" spans="4:5" ht="14.5" x14ac:dyDescent="0.35">
      <c r="D919"/>
      <c r="E919"/>
    </row>
    <row r="920" spans="4:5" ht="14.5" x14ac:dyDescent="0.35">
      <c r="D920"/>
      <c r="E920"/>
    </row>
    <row r="921" spans="4:5" ht="14.5" x14ac:dyDescent="0.35">
      <c r="D921"/>
      <c r="E921"/>
    </row>
    <row r="922" spans="4:5" ht="14.5" x14ac:dyDescent="0.35">
      <c r="D922"/>
      <c r="E922"/>
    </row>
    <row r="923" spans="4:5" ht="14.5" x14ac:dyDescent="0.35">
      <c r="D923"/>
      <c r="E923"/>
    </row>
    <row r="924" spans="4:5" ht="14.5" x14ac:dyDescent="0.35">
      <c r="D924"/>
      <c r="E924"/>
    </row>
    <row r="925" spans="4:5" ht="14.5" x14ac:dyDescent="0.35">
      <c r="D925"/>
      <c r="E925"/>
    </row>
    <row r="926" spans="4:5" ht="14.5" x14ac:dyDescent="0.35">
      <c r="D926"/>
      <c r="E926"/>
    </row>
    <row r="927" spans="4:5" ht="14.5" x14ac:dyDescent="0.35">
      <c r="D927"/>
      <c r="E927"/>
    </row>
    <row r="928" spans="4:5" ht="14.5" x14ac:dyDescent="0.35">
      <c r="D928"/>
      <c r="E928"/>
    </row>
    <row r="929" spans="4:5" ht="14.5" x14ac:dyDescent="0.35">
      <c r="D929"/>
      <c r="E929"/>
    </row>
    <row r="930" spans="4:5" ht="14.5" x14ac:dyDescent="0.35">
      <c r="D930"/>
      <c r="E930"/>
    </row>
    <row r="931" spans="4:5" ht="14.5" x14ac:dyDescent="0.35">
      <c r="D931"/>
      <c r="E931"/>
    </row>
    <row r="932" spans="4:5" ht="14.5" x14ac:dyDescent="0.35">
      <c r="D932"/>
      <c r="E932"/>
    </row>
    <row r="933" spans="4:5" ht="14.5" x14ac:dyDescent="0.35">
      <c r="D933"/>
      <c r="E933"/>
    </row>
    <row r="934" spans="4:5" ht="14.5" x14ac:dyDescent="0.35">
      <c r="D934"/>
      <c r="E934"/>
    </row>
    <row r="935" spans="4:5" ht="14.5" x14ac:dyDescent="0.35">
      <c r="D935"/>
      <c r="E935"/>
    </row>
    <row r="936" spans="4:5" ht="14.5" x14ac:dyDescent="0.35">
      <c r="D936"/>
      <c r="E936"/>
    </row>
    <row r="937" spans="4:5" ht="14.5" x14ac:dyDescent="0.35">
      <c r="D937"/>
      <c r="E937"/>
    </row>
    <row r="938" spans="4:5" ht="14.5" x14ac:dyDescent="0.35">
      <c r="D938"/>
      <c r="E938"/>
    </row>
    <row r="939" spans="4:5" ht="14.5" x14ac:dyDescent="0.35">
      <c r="D939"/>
      <c r="E939"/>
    </row>
    <row r="940" spans="4:5" ht="14.5" x14ac:dyDescent="0.35">
      <c r="D940"/>
      <c r="E940"/>
    </row>
    <row r="941" spans="4:5" ht="14.5" x14ac:dyDescent="0.35">
      <c r="D941"/>
      <c r="E941"/>
    </row>
    <row r="942" spans="4:5" ht="14.5" x14ac:dyDescent="0.35">
      <c r="D942"/>
      <c r="E942"/>
    </row>
    <row r="943" spans="4:5" ht="14.5" x14ac:dyDescent="0.35">
      <c r="D943"/>
      <c r="E943"/>
    </row>
    <row r="944" spans="4:5" ht="14.5" x14ac:dyDescent="0.35">
      <c r="D944"/>
      <c r="E944"/>
    </row>
    <row r="945" spans="4:5" ht="14.5" x14ac:dyDescent="0.35">
      <c r="D945"/>
      <c r="E945"/>
    </row>
    <row r="946" spans="4:5" ht="14.5" x14ac:dyDescent="0.35">
      <c r="D946"/>
      <c r="E946"/>
    </row>
    <row r="947" spans="4:5" ht="14.5" x14ac:dyDescent="0.35">
      <c r="D947"/>
      <c r="E947"/>
    </row>
    <row r="948" spans="4:5" ht="14.5" x14ac:dyDescent="0.35">
      <c r="D948"/>
      <c r="E948"/>
    </row>
    <row r="949" spans="4:5" ht="14.5" x14ac:dyDescent="0.35">
      <c r="D949"/>
      <c r="E949"/>
    </row>
    <row r="950" spans="4:5" ht="14.5" x14ac:dyDescent="0.35">
      <c r="D950"/>
      <c r="E950"/>
    </row>
    <row r="951" spans="4:5" ht="14.5" x14ac:dyDescent="0.35">
      <c r="D951"/>
      <c r="E951"/>
    </row>
    <row r="952" spans="4:5" ht="14.5" x14ac:dyDescent="0.35">
      <c r="D952"/>
      <c r="E952"/>
    </row>
    <row r="953" spans="4:5" ht="14.5" x14ac:dyDescent="0.35">
      <c r="D953"/>
      <c r="E953"/>
    </row>
    <row r="954" spans="4:5" ht="14.5" x14ac:dyDescent="0.35">
      <c r="D954"/>
      <c r="E954"/>
    </row>
    <row r="955" spans="4:5" ht="14.5" x14ac:dyDescent="0.35">
      <c r="D955"/>
      <c r="E955"/>
    </row>
    <row r="956" spans="4:5" ht="14.5" x14ac:dyDescent="0.35">
      <c r="D956"/>
      <c r="E956"/>
    </row>
    <row r="957" spans="4:5" ht="14.5" x14ac:dyDescent="0.35">
      <c r="D957"/>
      <c r="E957"/>
    </row>
    <row r="958" spans="4:5" ht="14.5" x14ac:dyDescent="0.35">
      <c r="D958"/>
      <c r="E958"/>
    </row>
    <row r="959" spans="4:5" ht="14.5" x14ac:dyDescent="0.35">
      <c r="D959"/>
      <c r="E959"/>
    </row>
    <row r="960" spans="4:5" ht="14.5" x14ac:dyDescent="0.35">
      <c r="D960"/>
      <c r="E960"/>
    </row>
    <row r="961" spans="4:5" ht="14.5" x14ac:dyDescent="0.35">
      <c r="D961"/>
      <c r="E961"/>
    </row>
    <row r="962" spans="4:5" ht="14.5" x14ac:dyDescent="0.35">
      <c r="D962"/>
      <c r="E962"/>
    </row>
    <row r="963" spans="4:5" ht="14.5" x14ac:dyDescent="0.35">
      <c r="D963"/>
      <c r="E963"/>
    </row>
    <row r="964" spans="4:5" ht="14.5" x14ac:dyDescent="0.35">
      <c r="D964"/>
      <c r="E964"/>
    </row>
    <row r="965" spans="4:5" ht="14.5" x14ac:dyDescent="0.35">
      <c r="D965"/>
      <c r="E965"/>
    </row>
    <row r="966" spans="4:5" ht="14.5" x14ac:dyDescent="0.35">
      <c r="D966"/>
      <c r="E966"/>
    </row>
    <row r="967" spans="4:5" ht="14.5" x14ac:dyDescent="0.35">
      <c r="D967"/>
      <c r="E967"/>
    </row>
    <row r="968" spans="4:5" ht="14.5" x14ac:dyDescent="0.35">
      <c r="D968"/>
      <c r="E968"/>
    </row>
    <row r="969" spans="4:5" ht="14.5" x14ac:dyDescent="0.35">
      <c r="D969"/>
      <c r="E969"/>
    </row>
    <row r="970" spans="4:5" ht="14.5" x14ac:dyDescent="0.35">
      <c r="D970"/>
      <c r="E970"/>
    </row>
    <row r="971" spans="4:5" ht="14.5" x14ac:dyDescent="0.35">
      <c r="D971"/>
      <c r="E971"/>
    </row>
    <row r="972" spans="4:5" ht="14.5" x14ac:dyDescent="0.35">
      <c r="D972"/>
      <c r="E972"/>
    </row>
    <row r="973" spans="4:5" ht="14.5" x14ac:dyDescent="0.35">
      <c r="D973"/>
      <c r="E973"/>
    </row>
    <row r="974" spans="4:5" ht="14.5" x14ac:dyDescent="0.35">
      <c r="D974"/>
      <c r="E974"/>
    </row>
    <row r="975" spans="4:5" ht="14.5" x14ac:dyDescent="0.35">
      <c r="D975"/>
      <c r="E975"/>
    </row>
    <row r="976" spans="4:5" ht="14.5" x14ac:dyDescent="0.35">
      <c r="D976"/>
      <c r="E976"/>
    </row>
    <row r="977" spans="4:5" ht="14.5" x14ac:dyDescent="0.35">
      <c r="D977"/>
      <c r="E977"/>
    </row>
    <row r="978" spans="4:5" ht="14.5" x14ac:dyDescent="0.35">
      <c r="D978"/>
      <c r="E978"/>
    </row>
    <row r="979" spans="4:5" ht="14.5" x14ac:dyDescent="0.35">
      <c r="D979"/>
      <c r="E979"/>
    </row>
    <row r="980" spans="4:5" ht="14.5" x14ac:dyDescent="0.35">
      <c r="D980"/>
      <c r="E980"/>
    </row>
    <row r="981" spans="4:5" ht="14.5" x14ac:dyDescent="0.35">
      <c r="D981"/>
      <c r="E981"/>
    </row>
    <row r="982" spans="4:5" ht="14.5" x14ac:dyDescent="0.35">
      <c r="D982"/>
      <c r="E982"/>
    </row>
    <row r="983" spans="4:5" ht="14.5" x14ac:dyDescent="0.35">
      <c r="D983"/>
      <c r="E983"/>
    </row>
    <row r="984" spans="4:5" ht="14.5" x14ac:dyDescent="0.35">
      <c r="D984"/>
      <c r="E984"/>
    </row>
    <row r="985" spans="4:5" ht="14.5" x14ac:dyDescent="0.35">
      <c r="D985"/>
      <c r="E985"/>
    </row>
    <row r="986" spans="4:5" ht="14.5" x14ac:dyDescent="0.35">
      <c r="D986"/>
      <c r="E986"/>
    </row>
    <row r="987" spans="4:5" ht="14.5" x14ac:dyDescent="0.35">
      <c r="D987"/>
      <c r="E987"/>
    </row>
    <row r="988" spans="4:5" ht="14.5" x14ac:dyDescent="0.35">
      <c r="D988"/>
      <c r="E988"/>
    </row>
    <row r="989" spans="4:5" ht="14.5" x14ac:dyDescent="0.35">
      <c r="D989"/>
      <c r="E989"/>
    </row>
    <row r="990" spans="4:5" ht="14.5" x14ac:dyDescent="0.35">
      <c r="D990"/>
      <c r="E990"/>
    </row>
    <row r="991" spans="4:5" ht="14.5" x14ac:dyDescent="0.35">
      <c r="D991"/>
      <c r="E991"/>
    </row>
    <row r="992" spans="4:5" ht="14.5" x14ac:dyDescent="0.35">
      <c r="D992"/>
      <c r="E992"/>
    </row>
    <row r="993" spans="4:5" ht="14.5" x14ac:dyDescent="0.35">
      <c r="D993"/>
      <c r="E993"/>
    </row>
    <row r="994" spans="4:5" ht="14.5" x14ac:dyDescent="0.35">
      <c r="D994"/>
      <c r="E994"/>
    </row>
    <row r="995" spans="4:5" ht="14.5" x14ac:dyDescent="0.35">
      <c r="D995"/>
      <c r="E995"/>
    </row>
    <row r="996" spans="4:5" ht="14.5" x14ac:dyDescent="0.35">
      <c r="D996"/>
      <c r="E996"/>
    </row>
    <row r="997" spans="4:5" ht="14.5" x14ac:dyDescent="0.35">
      <c r="D997"/>
      <c r="E997"/>
    </row>
    <row r="998" spans="4:5" ht="14.5" x14ac:dyDescent="0.35">
      <c r="D998"/>
      <c r="E998"/>
    </row>
    <row r="999" spans="4:5" ht="14.5" x14ac:dyDescent="0.35">
      <c r="D999"/>
      <c r="E999"/>
    </row>
    <row r="1000" spans="4:5" ht="14.5" x14ac:dyDescent="0.35">
      <c r="D1000"/>
      <c r="E1000"/>
    </row>
    <row r="1001" spans="4:5" ht="14.5" x14ac:dyDescent="0.35">
      <c r="D1001"/>
      <c r="E1001"/>
    </row>
    <row r="1002" spans="4:5" ht="14.5" x14ac:dyDescent="0.35">
      <c r="D1002"/>
      <c r="E1002"/>
    </row>
    <row r="1003" spans="4:5" ht="14.5" x14ac:dyDescent="0.35">
      <c r="D1003"/>
      <c r="E1003"/>
    </row>
    <row r="1004" spans="4:5" ht="14.5" x14ac:dyDescent="0.35">
      <c r="D1004"/>
      <c r="E1004"/>
    </row>
    <row r="1005" spans="4:5" ht="14.5" x14ac:dyDescent="0.35">
      <c r="D1005"/>
      <c r="E1005"/>
    </row>
    <row r="1006" spans="4:5" ht="14.5" x14ac:dyDescent="0.35">
      <c r="D1006"/>
      <c r="E1006"/>
    </row>
    <row r="1007" spans="4:5" ht="14.5" x14ac:dyDescent="0.35">
      <c r="D1007"/>
      <c r="E1007"/>
    </row>
    <row r="1008" spans="4:5" ht="14.5" x14ac:dyDescent="0.35">
      <c r="D1008"/>
      <c r="E1008"/>
    </row>
    <row r="1009" spans="4:5" ht="14.5" x14ac:dyDescent="0.35">
      <c r="D1009"/>
      <c r="E1009"/>
    </row>
    <row r="1010" spans="4:5" ht="14.5" x14ac:dyDescent="0.35">
      <c r="D1010"/>
      <c r="E1010"/>
    </row>
    <row r="1011" spans="4:5" ht="14.5" x14ac:dyDescent="0.35">
      <c r="D1011"/>
      <c r="E1011"/>
    </row>
    <row r="1012" spans="4:5" ht="14.5" x14ac:dyDescent="0.35">
      <c r="D1012"/>
      <c r="E1012"/>
    </row>
    <row r="1013" spans="4:5" ht="14.5" x14ac:dyDescent="0.35">
      <c r="D1013"/>
      <c r="E1013"/>
    </row>
    <row r="1014" spans="4:5" ht="14.5" x14ac:dyDescent="0.35">
      <c r="D1014"/>
      <c r="E1014"/>
    </row>
    <row r="1015" spans="4:5" ht="14.5" x14ac:dyDescent="0.35">
      <c r="D1015"/>
      <c r="E1015"/>
    </row>
    <row r="1016" spans="4:5" ht="14.5" x14ac:dyDescent="0.35">
      <c r="D1016"/>
      <c r="E1016"/>
    </row>
    <row r="1017" spans="4:5" ht="14.5" x14ac:dyDescent="0.35">
      <c r="D1017"/>
      <c r="E1017"/>
    </row>
    <row r="1018" spans="4:5" ht="14.5" x14ac:dyDescent="0.35">
      <c r="D1018"/>
      <c r="E1018"/>
    </row>
    <row r="1019" spans="4:5" ht="14.5" x14ac:dyDescent="0.35">
      <c r="D1019"/>
      <c r="E1019"/>
    </row>
    <row r="1020" spans="4:5" ht="14.5" x14ac:dyDescent="0.35">
      <c r="D1020"/>
      <c r="E1020"/>
    </row>
    <row r="1021" spans="4:5" ht="14.5" x14ac:dyDescent="0.35">
      <c r="D1021"/>
      <c r="E1021"/>
    </row>
    <row r="1022" spans="4:5" ht="14.5" x14ac:dyDescent="0.35">
      <c r="D1022"/>
      <c r="E1022"/>
    </row>
    <row r="1023" spans="4:5" ht="14.5" x14ac:dyDescent="0.35">
      <c r="D1023"/>
      <c r="E1023"/>
    </row>
    <row r="1024" spans="4:5" ht="14.5" x14ac:dyDescent="0.35">
      <c r="D1024"/>
      <c r="E1024"/>
    </row>
    <row r="1025" spans="4:5" ht="14.5" x14ac:dyDescent="0.35">
      <c r="D1025"/>
      <c r="E1025"/>
    </row>
    <row r="1026" spans="4:5" ht="14.5" x14ac:dyDescent="0.35">
      <c r="D1026"/>
      <c r="E1026"/>
    </row>
    <row r="1027" spans="4:5" ht="14.5" x14ac:dyDescent="0.35">
      <c r="D1027"/>
      <c r="E1027"/>
    </row>
    <row r="1028" spans="4:5" ht="14.5" x14ac:dyDescent="0.35">
      <c r="D1028"/>
      <c r="E1028"/>
    </row>
    <row r="1029" spans="4:5" ht="14.5" x14ac:dyDescent="0.35">
      <c r="D1029"/>
      <c r="E1029"/>
    </row>
    <row r="1030" spans="4:5" ht="14.5" x14ac:dyDescent="0.35">
      <c r="D1030"/>
      <c r="E1030"/>
    </row>
    <row r="1031" spans="4:5" ht="14.5" x14ac:dyDescent="0.35">
      <c r="D1031"/>
      <c r="E1031"/>
    </row>
    <row r="1032" spans="4:5" ht="14.5" x14ac:dyDescent="0.35">
      <c r="D1032"/>
      <c r="E1032"/>
    </row>
    <row r="1033" spans="4:5" ht="14.5" x14ac:dyDescent="0.35">
      <c r="D1033"/>
      <c r="E1033"/>
    </row>
    <row r="1034" spans="4:5" ht="14.5" x14ac:dyDescent="0.35">
      <c r="D1034"/>
      <c r="E1034"/>
    </row>
    <row r="1035" spans="4:5" ht="14.5" x14ac:dyDescent="0.35">
      <c r="D1035"/>
      <c r="E1035"/>
    </row>
    <row r="1036" spans="4:5" ht="14.5" x14ac:dyDescent="0.35">
      <c r="D1036"/>
      <c r="E1036"/>
    </row>
    <row r="1037" spans="4:5" ht="14.5" x14ac:dyDescent="0.35">
      <c r="D1037"/>
      <c r="E1037"/>
    </row>
    <row r="1038" spans="4:5" ht="14.5" x14ac:dyDescent="0.35">
      <c r="D1038"/>
      <c r="E1038"/>
    </row>
    <row r="1039" spans="4:5" ht="14.5" x14ac:dyDescent="0.35">
      <c r="D1039"/>
      <c r="E1039"/>
    </row>
    <row r="1040" spans="4:5" ht="14.5" x14ac:dyDescent="0.35">
      <c r="D1040"/>
      <c r="E1040"/>
    </row>
    <row r="1041" spans="4:5" ht="14.5" x14ac:dyDescent="0.35">
      <c r="D1041"/>
      <c r="E1041"/>
    </row>
    <row r="1042" spans="4:5" ht="14.5" x14ac:dyDescent="0.35">
      <c r="D1042"/>
      <c r="E1042"/>
    </row>
    <row r="1043" spans="4:5" ht="14.5" x14ac:dyDescent="0.35">
      <c r="D1043"/>
      <c r="E1043"/>
    </row>
    <row r="1044" spans="4:5" ht="14.5" x14ac:dyDescent="0.35">
      <c r="D1044"/>
      <c r="E1044"/>
    </row>
    <row r="1045" spans="4:5" ht="14.5" x14ac:dyDescent="0.35">
      <c r="D1045"/>
      <c r="E1045"/>
    </row>
    <row r="1046" spans="4:5" ht="14.5" x14ac:dyDescent="0.35">
      <c r="D1046"/>
      <c r="E1046"/>
    </row>
    <row r="1047" spans="4:5" ht="14.5" x14ac:dyDescent="0.35">
      <c r="D1047"/>
      <c r="E1047"/>
    </row>
    <row r="1048" spans="4:5" ht="14.5" x14ac:dyDescent="0.35">
      <c r="D1048"/>
      <c r="E1048"/>
    </row>
    <row r="1049" spans="4:5" ht="14.5" x14ac:dyDescent="0.35">
      <c r="D1049"/>
      <c r="E1049"/>
    </row>
    <row r="1050" spans="4:5" ht="14.5" x14ac:dyDescent="0.35">
      <c r="D1050"/>
      <c r="E1050"/>
    </row>
    <row r="1051" spans="4:5" ht="14.5" x14ac:dyDescent="0.35">
      <c r="D1051"/>
      <c r="E1051"/>
    </row>
    <row r="1052" spans="4:5" ht="14.5" x14ac:dyDescent="0.35">
      <c r="D1052"/>
      <c r="E1052"/>
    </row>
    <row r="1053" spans="4:5" ht="14.5" x14ac:dyDescent="0.35">
      <c r="D1053"/>
      <c r="E1053"/>
    </row>
    <row r="1054" spans="4:5" ht="14.5" x14ac:dyDescent="0.35">
      <c r="D1054"/>
      <c r="E1054"/>
    </row>
    <row r="1055" spans="4:5" ht="14.5" x14ac:dyDescent="0.35">
      <c r="D1055"/>
      <c r="E1055"/>
    </row>
    <row r="1056" spans="4:5" ht="14.5" x14ac:dyDescent="0.35">
      <c r="D1056"/>
      <c r="E1056"/>
    </row>
    <row r="1057" spans="4:5" ht="14.5" x14ac:dyDescent="0.35">
      <c r="D1057"/>
      <c r="E1057"/>
    </row>
    <row r="1058" spans="4:5" ht="14.5" x14ac:dyDescent="0.35">
      <c r="D1058"/>
      <c r="E1058"/>
    </row>
    <row r="1059" spans="4:5" ht="14.5" x14ac:dyDescent="0.35">
      <c r="D1059"/>
      <c r="E1059"/>
    </row>
    <row r="1060" spans="4:5" ht="14.5" x14ac:dyDescent="0.35">
      <c r="D1060"/>
      <c r="E1060"/>
    </row>
    <row r="1061" spans="4:5" ht="14.5" x14ac:dyDescent="0.35">
      <c r="D1061"/>
      <c r="E1061"/>
    </row>
    <row r="1062" spans="4:5" ht="14.5" x14ac:dyDescent="0.35">
      <c r="D1062"/>
      <c r="E1062"/>
    </row>
    <row r="1063" spans="4:5" ht="14.5" x14ac:dyDescent="0.35">
      <c r="D1063"/>
      <c r="E1063"/>
    </row>
    <row r="1064" spans="4:5" ht="14.5" x14ac:dyDescent="0.35">
      <c r="D1064"/>
      <c r="E1064"/>
    </row>
    <row r="1065" spans="4:5" ht="14.5" x14ac:dyDescent="0.35">
      <c r="D1065"/>
      <c r="E1065"/>
    </row>
    <row r="1066" spans="4:5" ht="14.5" x14ac:dyDescent="0.35">
      <c r="D1066"/>
      <c r="E1066"/>
    </row>
    <row r="1067" spans="4:5" ht="14.5" x14ac:dyDescent="0.35">
      <c r="D1067"/>
      <c r="E1067"/>
    </row>
    <row r="1068" spans="4:5" ht="14.5" x14ac:dyDescent="0.35">
      <c r="D1068"/>
      <c r="E1068"/>
    </row>
    <row r="1069" spans="4:5" ht="14.5" x14ac:dyDescent="0.35">
      <c r="D1069"/>
      <c r="E1069"/>
    </row>
    <row r="1070" spans="4:5" ht="14.5" x14ac:dyDescent="0.35">
      <c r="D1070"/>
      <c r="E1070"/>
    </row>
    <row r="1071" spans="4:5" ht="14.5" x14ac:dyDescent="0.35">
      <c r="D1071"/>
      <c r="E1071"/>
    </row>
    <row r="1072" spans="4:5" ht="14.5" x14ac:dyDescent="0.35">
      <c r="D1072"/>
      <c r="E1072"/>
    </row>
    <row r="1073" spans="4:5" ht="14.5" x14ac:dyDescent="0.35">
      <c r="D1073"/>
      <c r="E1073"/>
    </row>
    <row r="1074" spans="4:5" ht="14.5" x14ac:dyDescent="0.35">
      <c r="D1074"/>
      <c r="E1074"/>
    </row>
    <row r="1075" spans="4:5" ht="14.5" x14ac:dyDescent="0.35">
      <c r="D1075"/>
      <c r="E1075"/>
    </row>
    <row r="1076" spans="4:5" ht="14.5" x14ac:dyDescent="0.35">
      <c r="D1076"/>
      <c r="E1076"/>
    </row>
    <row r="1077" spans="4:5" ht="14.5" x14ac:dyDescent="0.35">
      <c r="D1077"/>
      <c r="E1077"/>
    </row>
    <row r="1078" spans="4:5" ht="14.5" x14ac:dyDescent="0.35">
      <c r="D1078"/>
      <c r="E1078"/>
    </row>
    <row r="1079" spans="4:5" ht="14.5" x14ac:dyDescent="0.35">
      <c r="D1079"/>
      <c r="E1079"/>
    </row>
    <row r="1080" spans="4:5" ht="14.5" x14ac:dyDescent="0.35">
      <c r="D1080"/>
      <c r="E1080"/>
    </row>
    <row r="1081" spans="4:5" ht="14.5" x14ac:dyDescent="0.35">
      <c r="D1081"/>
      <c r="E1081"/>
    </row>
    <row r="1082" spans="4:5" ht="14.5" x14ac:dyDescent="0.35">
      <c r="D1082"/>
      <c r="E1082"/>
    </row>
    <row r="1083" spans="4:5" ht="14.5" x14ac:dyDescent="0.35">
      <c r="D1083"/>
      <c r="E1083"/>
    </row>
    <row r="1084" spans="4:5" ht="14.5" x14ac:dyDescent="0.35">
      <c r="D1084"/>
      <c r="E1084"/>
    </row>
    <row r="1085" spans="4:5" ht="14.5" x14ac:dyDescent="0.35">
      <c r="D1085"/>
      <c r="E1085"/>
    </row>
    <row r="1086" spans="4:5" ht="14.5" x14ac:dyDescent="0.35">
      <c r="D1086"/>
      <c r="E1086"/>
    </row>
    <row r="1087" spans="4:5" ht="14.5" x14ac:dyDescent="0.35">
      <c r="D1087"/>
      <c r="E1087"/>
    </row>
    <row r="1088" spans="4:5" ht="14.5" x14ac:dyDescent="0.35">
      <c r="D1088"/>
      <c r="E1088"/>
    </row>
    <row r="1089" spans="4:5" ht="14.5" x14ac:dyDescent="0.35">
      <c r="D1089"/>
      <c r="E1089"/>
    </row>
    <row r="1090" spans="4:5" ht="14.5" x14ac:dyDescent="0.35">
      <c r="D1090"/>
      <c r="E1090"/>
    </row>
    <row r="1091" spans="4:5" ht="14.5" x14ac:dyDescent="0.35">
      <c r="D1091"/>
      <c r="E1091"/>
    </row>
    <row r="1092" spans="4:5" ht="14.5" x14ac:dyDescent="0.35">
      <c r="D1092"/>
      <c r="E1092"/>
    </row>
    <row r="1093" spans="4:5" ht="14.5" x14ac:dyDescent="0.35">
      <c r="D1093"/>
      <c r="E1093"/>
    </row>
    <row r="1094" spans="4:5" ht="14.5" x14ac:dyDescent="0.35">
      <c r="D1094"/>
      <c r="E1094"/>
    </row>
    <row r="1095" spans="4:5" ht="14.5" x14ac:dyDescent="0.35">
      <c r="D1095"/>
      <c r="E1095"/>
    </row>
    <row r="1096" spans="4:5" ht="14.5" x14ac:dyDescent="0.35">
      <c r="D1096"/>
      <c r="E1096"/>
    </row>
    <row r="1097" spans="4:5" ht="14.5" x14ac:dyDescent="0.35">
      <c r="D1097"/>
      <c r="E1097"/>
    </row>
    <row r="1098" spans="4:5" ht="14.5" x14ac:dyDescent="0.35">
      <c r="D1098"/>
      <c r="E1098"/>
    </row>
    <row r="1099" spans="4:5" ht="14.5" x14ac:dyDescent="0.35">
      <c r="D1099"/>
      <c r="E1099"/>
    </row>
    <row r="1100" spans="4:5" ht="14.5" x14ac:dyDescent="0.35">
      <c r="D1100"/>
      <c r="E1100"/>
    </row>
    <row r="1101" spans="4:5" ht="14.5" x14ac:dyDescent="0.35">
      <c r="D1101"/>
      <c r="E1101"/>
    </row>
    <row r="1102" spans="4:5" ht="14.5" x14ac:dyDescent="0.35">
      <c r="D1102"/>
      <c r="E1102"/>
    </row>
    <row r="1103" spans="4:5" ht="14.5" x14ac:dyDescent="0.35">
      <c r="D1103"/>
      <c r="E1103"/>
    </row>
    <row r="1104" spans="4:5" ht="14.5" x14ac:dyDescent="0.35">
      <c r="D1104"/>
      <c r="E1104"/>
    </row>
    <row r="1105" spans="4:5" ht="14.5" x14ac:dyDescent="0.35">
      <c r="D1105"/>
      <c r="E1105"/>
    </row>
    <row r="1106" spans="4:5" ht="14.5" x14ac:dyDescent="0.35">
      <c r="D1106"/>
      <c r="E1106"/>
    </row>
    <row r="1107" spans="4:5" ht="14.5" x14ac:dyDescent="0.35">
      <c r="D1107"/>
      <c r="E1107"/>
    </row>
    <row r="1108" spans="4:5" ht="14.5" x14ac:dyDescent="0.35">
      <c r="D1108"/>
      <c r="E1108"/>
    </row>
    <row r="1109" spans="4:5" ht="14.5" x14ac:dyDescent="0.35">
      <c r="D1109"/>
      <c r="E1109"/>
    </row>
    <row r="1110" spans="4:5" ht="14.5" x14ac:dyDescent="0.35">
      <c r="D1110"/>
      <c r="E1110"/>
    </row>
    <row r="1111" spans="4:5" ht="14.5" x14ac:dyDescent="0.35">
      <c r="D1111"/>
      <c r="E1111"/>
    </row>
    <row r="1112" spans="4:5" ht="14.5" x14ac:dyDescent="0.35">
      <c r="D1112"/>
      <c r="E1112"/>
    </row>
    <row r="1113" spans="4:5" ht="14.5" x14ac:dyDescent="0.35">
      <c r="D1113"/>
      <c r="E1113"/>
    </row>
    <row r="1114" spans="4:5" ht="14.5" x14ac:dyDescent="0.35">
      <c r="D1114"/>
      <c r="E1114"/>
    </row>
    <row r="1115" spans="4:5" ht="14.5" x14ac:dyDescent="0.35">
      <c r="D1115"/>
      <c r="E1115"/>
    </row>
    <row r="1116" spans="4:5" ht="14.5" x14ac:dyDescent="0.35">
      <c r="D1116"/>
      <c r="E1116"/>
    </row>
    <row r="1117" spans="4:5" ht="14.5" x14ac:dyDescent="0.35">
      <c r="D1117"/>
      <c r="E1117"/>
    </row>
    <row r="1118" spans="4:5" ht="14.5" x14ac:dyDescent="0.35">
      <c r="D1118"/>
      <c r="E1118"/>
    </row>
    <row r="1119" spans="4:5" ht="14.5" x14ac:dyDescent="0.35">
      <c r="D1119"/>
      <c r="E1119"/>
    </row>
    <row r="1120" spans="4:5" ht="14.5" x14ac:dyDescent="0.35">
      <c r="D1120"/>
      <c r="E1120"/>
    </row>
    <row r="1121" spans="4:5" ht="14.5" x14ac:dyDescent="0.35">
      <c r="D1121"/>
      <c r="E1121"/>
    </row>
    <row r="1122" spans="4:5" ht="14.5" x14ac:dyDescent="0.35">
      <c r="D1122"/>
      <c r="E1122"/>
    </row>
    <row r="1123" spans="4:5" ht="14.5" x14ac:dyDescent="0.35">
      <c r="D1123"/>
      <c r="E1123"/>
    </row>
    <row r="1124" spans="4:5" ht="14.5" x14ac:dyDescent="0.35">
      <c r="D1124"/>
      <c r="E1124"/>
    </row>
    <row r="1125" spans="4:5" ht="14.5" x14ac:dyDescent="0.35">
      <c r="D1125"/>
      <c r="E1125"/>
    </row>
    <row r="1126" spans="4:5" ht="14.5" x14ac:dyDescent="0.35">
      <c r="D1126"/>
      <c r="E1126"/>
    </row>
    <row r="1127" spans="4:5" ht="14.5" x14ac:dyDescent="0.35">
      <c r="D1127"/>
      <c r="E1127"/>
    </row>
    <row r="1128" spans="4:5" ht="14.5" x14ac:dyDescent="0.35">
      <c r="D1128"/>
      <c r="E1128"/>
    </row>
    <row r="1129" spans="4:5" ht="14.5" x14ac:dyDescent="0.35">
      <c r="D1129"/>
      <c r="E1129"/>
    </row>
    <row r="1130" spans="4:5" ht="14.5" x14ac:dyDescent="0.35">
      <c r="D1130"/>
      <c r="E1130"/>
    </row>
    <row r="1131" spans="4:5" ht="14.5" x14ac:dyDescent="0.35">
      <c r="D1131"/>
      <c r="E1131"/>
    </row>
    <row r="1132" spans="4:5" ht="14.5" x14ac:dyDescent="0.35">
      <c r="D1132"/>
      <c r="E1132"/>
    </row>
    <row r="1133" spans="4:5" ht="14.5" x14ac:dyDescent="0.35">
      <c r="D1133"/>
      <c r="E1133"/>
    </row>
    <row r="1134" spans="4:5" ht="14.5" x14ac:dyDescent="0.35">
      <c r="D1134"/>
      <c r="E1134"/>
    </row>
    <row r="1135" spans="4:5" ht="14.5" x14ac:dyDescent="0.35">
      <c r="D1135"/>
      <c r="E1135"/>
    </row>
    <row r="1136" spans="4:5" ht="14.5" x14ac:dyDescent="0.35">
      <c r="D1136"/>
      <c r="E1136"/>
    </row>
    <row r="1137" spans="4:5" ht="14.5" x14ac:dyDescent="0.35">
      <c r="D1137"/>
      <c r="E1137"/>
    </row>
    <row r="1138" spans="4:5" ht="14.5" x14ac:dyDescent="0.35">
      <c r="D1138"/>
      <c r="E1138"/>
    </row>
    <row r="1139" spans="4:5" ht="14.5" x14ac:dyDescent="0.35">
      <c r="D1139"/>
      <c r="E1139"/>
    </row>
    <row r="1140" spans="4:5" ht="14.5" x14ac:dyDescent="0.35">
      <c r="D1140"/>
      <c r="E1140"/>
    </row>
    <row r="1141" spans="4:5" ht="14.5" x14ac:dyDescent="0.35">
      <c r="D1141"/>
      <c r="E1141"/>
    </row>
    <row r="1142" spans="4:5" ht="14.5" x14ac:dyDescent="0.35">
      <c r="D1142"/>
      <c r="E1142"/>
    </row>
    <row r="1143" spans="4:5" ht="14.5" x14ac:dyDescent="0.35">
      <c r="D1143"/>
      <c r="E1143"/>
    </row>
    <row r="1144" spans="4:5" ht="14.5" x14ac:dyDescent="0.35">
      <c r="D1144"/>
      <c r="E1144"/>
    </row>
    <row r="1145" spans="4:5" ht="14.5" x14ac:dyDescent="0.35">
      <c r="D1145"/>
      <c r="E1145"/>
    </row>
    <row r="1146" spans="4:5" ht="14.5" x14ac:dyDescent="0.35">
      <c r="D1146"/>
      <c r="E1146"/>
    </row>
    <row r="1147" spans="4:5" ht="14.5" x14ac:dyDescent="0.35">
      <c r="D1147"/>
      <c r="E1147"/>
    </row>
    <row r="1148" spans="4:5" ht="14.5" x14ac:dyDescent="0.35">
      <c r="D1148"/>
      <c r="E1148"/>
    </row>
    <row r="1149" spans="4:5" ht="14.5" x14ac:dyDescent="0.35">
      <c r="D1149"/>
      <c r="E1149"/>
    </row>
    <row r="1150" spans="4:5" ht="14.5" x14ac:dyDescent="0.35">
      <c r="D1150"/>
      <c r="E1150"/>
    </row>
    <row r="1151" spans="4:5" ht="14.5" x14ac:dyDescent="0.35">
      <c r="D1151"/>
      <c r="E1151"/>
    </row>
    <row r="1152" spans="4:5" ht="14.5" x14ac:dyDescent="0.35">
      <c r="D1152"/>
      <c r="E1152"/>
    </row>
    <row r="1153" spans="4:5" ht="14.5" x14ac:dyDescent="0.35">
      <c r="D1153"/>
      <c r="E1153"/>
    </row>
    <row r="1154" spans="4:5" ht="14.5" x14ac:dyDescent="0.35">
      <c r="D1154"/>
      <c r="E1154"/>
    </row>
    <row r="1155" spans="4:5" ht="14.5" x14ac:dyDescent="0.35">
      <c r="D1155"/>
      <c r="E1155"/>
    </row>
    <row r="1156" spans="4:5" ht="14.5" x14ac:dyDescent="0.35">
      <c r="D1156"/>
      <c r="E1156"/>
    </row>
    <row r="1157" spans="4:5" ht="14.5" x14ac:dyDescent="0.35">
      <c r="D1157"/>
      <c r="E1157"/>
    </row>
    <row r="1158" spans="4:5" ht="14.5" x14ac:dyDescent="0.35">
      <c r="D1158"/>
      <c r="E1158"/>
    </row>
    <row r="1159" spans="4:5" ht="14.5" x14ac:dyDescent="0.35">
      <c r="D1159"/>
      <c r="E1159"/>
    </row>
    <row r="1160" spans="4:5" ht="14.5" x14ac:dyDescent="0.35">
      <c r="D1160"/>
      <c r="E1160"/>
    </row>
    <row r="1161" spans="4:5" ht="14.5" x14ac:dyDescent="0.35">
      <c r="D1161"/>
      <c r="E1161"/>
    </row>
    <row r="1162" spans="4:5" ht="14.5" x14ac:dyDescent="0.35">
      <c r="D1162"/>
      <c r="E1162"/>
    </row>
    <row r="1163" spans="4:5" ht="14.5" x14ac:dyDescent="0.35">
      <c r="D1163"/>
      <c r="E1163"/>
    </row>
    <row r="1164" spans="4:5" ht="14.5" x14ac:dyDescent="0.35">
      <c r="D1164"/>
      <c r="E1164"/>
    </row>
    <row r="1165" spans="4:5" ht="14.5" x14ac:dyDescent="0.35">
      <c r="D1165"/>
      <c r="E1165"/>
    </row>
    <row r="1166" spans="4:5" ht="14.5" x14ac:dyDescent="0.35">
      <c r="D1166"/>
      <c r="E1166"/>
    </row>
    <row r="1167" spans="4:5" ht="14.5" x14ac:dyDescent="0.35">
      <c r="D1167"/>
      <c r="E1167"/>
    </row>
    <row r="1168" spans="4:5" ht="14.5" x14ac:dyDescent="0.35">
      <c r="D1168"/>
      <c r="E1168"/>
    </row>
    <row r="1169" spans="4:5" ht="14.5" x14ac:dyDescent="0.35">
      <c r="D1169"/>
      <c r="E1169"/>
    </row>
    <row r="1170" spans="4:5" ht="14.5" x14ac:dyDescent="0.35">
      <c r="D1170"/>
      <c r="E1170"/>
    </row>
    <row r="1171" spans="4:5" ht="14.5" x14ac:dyDescent="0.35">
      <c r="D1171"/>
      <c r="E1171"/>
    </row>
    <row r="1172" spans="4:5" ht="14.5" x14ac:dyDescent="0.35">
      <c r="D1172"/>
      <c r="E1172"/>
    </row>
    <row r="1173" spans="4:5" ht="14.5" x14ac:dyDescent="0.35">
      <c r="D1173"/>
      <c r="E1173"/>
    </row>
    <row r="1174" spans="4:5" ht="14.5" x14ac:dyDescent="0.35">
      <c r="D1174"/>
      <c r="E1174"/>
    </row>
    <row r="1175" spans="4:5" ht="14.5" x14ac:dyDescent="0.35">
      <c r="D1175"/>
      <c r="E1175"/>
    </row>
    <row r="1176" spans="4:5" ht="14.5" x14ac:dyDescent="0.35">
      <c r="D1176"/>
      <c r="E1176"/>
    </row>
    <row r="1177" spans="4:5" ht="14.5" x14ac:dyDescent="0.35">
      <c r="D1177"/>
      <c r="E1177"/>
    </row>
    <row r="1178" spans="4:5" ht="14.5" x14ac:dyDescent="0.35">
      <c r="D1178"/>
      <c r="E1178"/>
    </row>
    <row r="1179" spans="4:5" ht="14.5" x14ac:dyDescent="0.35">
      <c r="D1179"/>
      <c r="E1179"/>
    </row>
    <row r="1180" spans="4:5" ht="14.5" x14ac:dyDescent="0.35">
      <c r="D1180"/>
      <c r="E1180"/>
    </row>
    <row r="1181" spans="4:5" ht="14.5" x14ac:dyDescent="0.35">
      <c r="D1181"/>
      <c r="E1181"/>
    </row>
    <row r="1182" spans="4:5" ht="14.5" x14ac:dyDescent="0.35">
      <c r="D1182"/>
      <c r="E1182"/>
    </row>
    <row r="1183" spans="4:5" ht="14.5" x14ac:dyDescent="0.35">
      <c r="D1183"/>
      <c r="E1183"/>
    </row>
    <row r="1184" spans="4:5" ht="14.5" x14ac:dyDescent="0.35">
      <c r="D1184"/>
      <c r="E1184"/>
    </row>
    <row r="1185" spans="4:5" ht="14.5" x14ac:dyDescent="0.35">
      <c r="D1185"/>
      <c r="E1185"/>
    </row>
    <row r="1186" spans="4:5" ht="14.5" x14ac:dyDescent="0.35">
      <c r="D1186"/>
      <c r="E1186"/>
    </row>
    <row r="1187" spans="4:5" ht="14.5" x14ac:dyDescent="0.35">
      <c r="D1187"/>
      <c r="E1187"/>
    </row>
    <row r="1188" spans="4:5" ht="14.5" x14ac:dyDescent="0.35">
      <c r="D1188"/>
      <c r="E1188"/>
    </row>
    <row r="1189" spans="4:5" ht="14.5" x14ac:dyDescent="0.35">
      <c r="D1189"/>
      <c r="E1189"/>
    </row>
    <row r="1190" spans="4:5" ht="14.5" x14ac:dyDescent="0.35">
      <c r="D1190"/>
      <c r="E1190"/>
    </row>
    <row r="1191" spans="4:5" ht="14.5" x14ac:dyDescent="0.35">
      <c r="D1191"/>
      <c r="E1191"/>
    </row>
    <row r="1192" spans="4:5" ht="14.5" x14ac:dyDescent="0.35">
      <c r="D1192"/>
      <c r="E1192"/>
    </row>
    <row r="1193" spans="4:5" ht="14.5" x14ac:dyDescent="0.35">
      <c r="D1193"/>
      <c r="E1193"/>
    </row>
    <row r="1194" spans="4:5" ht="14.5" x14ac:dyDescent="0.35">
      <c r="D1194"/>
      <c r="E1194"/>
    </row>
    <row r="1195" spans="4:5" ht="14.5" x14ac:dyDescent="0.35">
      <c r="D1195"/>
      <c r="E1195"/>
    </row>
    <row r="1196" spans="4:5" ht="14.5" x14ac:dyDescent="0.35">
      <c r="D1196"/>
      <c r="E1196"/>
    </row>
    <row r="1197" spans="4:5" ht="14.5" x14ac:dyDescent="0.35">
      <c r="D1197"/>
      <c r="E1197"/>
    </row>
    <row r="1198" spans="4:5" ht="14.5" x14ac:dyDescent="0.35">
      <c r="D1198"/>
      <c r="E1198"/>
    </row>
    <row r="1199" spans="4:5" ht="14.5" x14ac:dyDescent="0.35">
      <c r="D1199"/>
      <c r="E1199"/>
    </row>
    <row r="1200" spans="4:5" ht="14.5" x14ac:dyDescent="0.35">
      <c r="D1200"/>
      <c r="E1200"/>
    </row>
    <row r="1201" spans="4:5" ht="14.5" x14ac:dyDescent="0.35">
      <c r="D1201"/>
      <c r="E1201"/>
    </row>
    <row r="1202" spans="4:5" ht="14.5" x14ac:dyDescent="0.35">
      <c r="D1202"/>
      <c r="E1202"/>
    </row>
    <row r="1203" spans="4:5" ht="14.5" x14ac:dyDescent="0.35">
      <c r="D1203"/>
      <c r="E1203"/>
    </row>
    <row r="1204" spans="4:5" ht="14.5" x14ac:dyDescent="0.35">
      <c r="D1204"/>
      <c r="E1204"/>
    </row>
    <row r="1205" spans="4:5" ht="14.5" x14ac:dyDescent="0.35">
      <c r="D1205"/>
      <c r="E1205"/>
    </row>
    <row r="1206" spans="4:5" ht="14.5" x14ac:dyDescent="0.35">
      <c r="D1206"/>
      <c r="E1206"/>
    </row>
    <row r="1207" spans="4:5" ht="14.5" x14ac:dyDescent="0.35">
      <c r="D1207"/>
      <c r="E1207"/>
    </row>
    <row r="1208" spans="4:5" ht="14.5" x14ac:dyDescent="0.35">
      <c r="D1208"/>
      <c r="E1208"/>
    </row>
    <row r="1209" spans="4:5" ht="14.5" x14ac:dyDescent="0.35">
      <c r="D1209"/>
      <c r="E1209"/>
    </row>
    <row r="1210" spans="4:5" ht="14.5" x14ac:dyDescent="0.35">
      <c r="D1210"/>
      <c r="E1210"/>
    </row>
    <row r="1211" spans="4:5" ht="14.5" x14ac:dyDescent="0.35">
      <c r="D1211"/>
      <c r="E1211"/>
    </row>
    <row r="1212" spans="4:5" ht="14.5" x14ac:dyDescent="0.35">
      <c r="D1212"/>
      <c r="E1212"/>
    </row>
    <row r="1213" spans="4:5" ht="14.5" x14ac:dyDescent="0.35">
      <c r="D1213"/>
      <c r="E1213"/>
    </row>
    <row r="1214" spans="4:5" ht="14.5" x14ac:dyDescent="0.35">
      <c r="D1214"/>
      <c r="E1214"/>
    </row>
    <row r="1215" spans="4:5" ht="14.5" x14ac:dyDescent="0.35">
      <c r="D1215"/>
      <c r="E1215"/>
    </row>
    <row r="1216" spans="4:5" ht="14.5" x14ac:dyDescent="0.35">
      <c r="D1216"/>
      <c r="E1216"/>
    </row>
    <row r="1217" spans="4:5" ht="14.5" x14ac:dyDescent="0.35">
      <c r="D1217"/>
      <c r="E1217"/>
    </row>
    <row r="1218" spans="4:5" ht="14.5" x14ac:dyDescent="0.35">
      <c r="D1218"/>
      <c r="E1218"/>
    </row>
    <row r="1219" spans="4:5" ht="14.5" x14ac:dyDescent="0.35">
      <c r="D1219"/>
      <c r="E1219"/>
    </row>
    <row r="1220" spans="4:5" ht="14.5" x14ac:dyDescent="0.35">
      <c r="D1220"/>
      <c r="E1220"/>
    </row>
    <row r="1221" spans="4:5" ht="14.5" x14ac:dyDescent="0.35">
      <c r="D1221"/>
      <c r="E1221"/>
    </row>
    <row r="1222" spans="4:5" ht="14.5" x14ac:dyDescent="0.35">
      <c r="D1222"/>
      <c r="E1222"/>
    </row>
    <row r="1223" spans="4:5" ht="14.5" x14ac:dyDescent="0.35">
      <c r="D1223"/>
      <c r="E1223"/>
    </row>
    <row r="1224" spans="4:5" ht="14.5" x14ac:dyDescent="0.35">
      <c r="D1224"/>
      <c r="E1224"/>
    </row>
    <row r="1225" spans="4:5" ht="14.5" x14ac:dyDescent="0.35">
      <c r="D1225"/>
      <c r="E1225"/>
    </row>
    <row r="1226" spans="4:5" ht="14.5" x14ac:dyDescent="0.35">
      <c r="D1226"/>
      <c r="E1226"/>
    </row>
    <row r="1227" spans="4:5" ht="14.5" x14ac:dyDescent="0.35">
      <c r="D1227"/>
      <c r="E1227"/>
    </row>
    <row r="1228" spans="4:5" ht="14.5" x14ac:dyDescent="0.35">
      <c r="D1228"/>
      <c r="E1228"/>
    </row>
    <row r="1229" spans="4:5" ht="14.5" x14ac:dyDescent="0.35">
      <c r="D1229"/>
      <c r="E1229"/>
    </row>
    <row r="1230" spans="4:5" ht="14.5" x14ac:dyDescent="0.35">
      <c r="D1230"/>
      <c r="E1230"/>
    </row>
    <row r="1231" spans="4:5" ht="14.5" x14ac:dyDescent="0.35">
      <c r="D1231"/>
      <c r="E1231"/>
    </row>
    <row r="1232" spans="4:5" ht="14.5" x14ac:dyDescent="0.35">
      <c r="D1232"/>
      <c r="E1232"/>
    </row>
    <row r="1233" spans="4:5" ht="14.5" x14ac:dyDescent="0.35">
      <c r="D1233"/>
      <c r="E1233"/>
    </row>
    <row r="1234" spans="4:5" ht="14.5" x14ac:dyDescent="0.35">
      <c r="D1234"/>
      <c r="E1234"/>
    </row>
    <row r="1235" spans="4:5" ht="14.5" x14ac:dyDescent="0.35">
      <c r="D1235"/>
      <c r="E1235"/>
    </row>
    <row r="1236" spans="4:5" ht="14.5" x14ac:dyDescent="0.35">
      <c r="D1236"/>
      <c r="E1236"/>
    </row>
    <row r="1237" spans="4:5" ht="14.5" x14ac:dyDescent="0.35">
      <c r="D1237"/>
      <c r="E1237"/>
    </row>
    <row r="1238" spans="4:5" ht="14.5" x14ac:dyDescent="0.35">
      <c r="D1238"/>
      <c r="E1238"/>
    </row>
    <row r="1239" spans="4:5" ht="14.5" x14ac:dyDescent="0.35">
      <c r="D1239"/>
      <c r="E1239"/>
    </row>
    <row r="1240" spans="4:5" ht="14.5" x14ac:dyDescent="0.35">
      <c r="D1240"/>
      <c r="E1240"/>
    </row>
    <row r="1241" spans="4:5" ht="14.5" x14ac:dyDescent="0.35">
      <c r="D1241"/>
      <c r="E1241"/>
    </row>
    <row r="1242" spans="4:5" ht="14.5" x14ac:dyDescent="0.35">
      <c r="D1242"/>
      <c r="E1242"/>
    </row>
    <row r="1243" spans="4:5" ht="14.5" x14ac:dyDescent="0.35">
      <c r="D1243"/>
      <c r="E1243"/>
    </row>
    <row r="1244" spans="4:5" ht="14.5" x14ac:dyDescent="0.35">
      <c r="D1244"/>
      <c r="E1244"/>
    </row>
    <row r="1245" spans="4:5" ht="14.5" x14ac:dyDescent="0.35">
      <c r="D1245"/>
      <c r="E1245"/>
    </row>
    <row r="1246" spans="4:5" ht="14.5" x14ac:dyDescent="0.35">
      <c r="D1246"/>
      <c r="E1246"/>
    </row>
    <row r="1247" spans="4:5" ht="14.5" x14ac:dyDescent="0.35">
      <c r="D1247"/>
      <c r="E1247"/>
    </row>
    <row r="1248" spans="4:5" ht="14.5" x14ac:dyDescent="0.35">
      <c r="D1248"/>
      <c r="E1248"/>
    </row>
    <row r="1249" spans="4:5" ht="14.5" x14ac:dyDescent="0.35">
      <c r="D1249"/>
      <c r="E1249"/>
    </row>
    <row r="1250" spans="4:5" ht="14.5" x14ac:dyDescent="0.35">
      <c r="D1250"/>
      <c r="E1250"/>
    </row>
    <row r="1251" spans="4:5" ht="14.5" x14ac:dyDescent="0.35">
      <c r="D1251"/>
      <c r="E1251"/>
    </row>
    <row r="1252" spans="4:5" ht="14.5" x14ac:dyDescent="0.35">
      <c r="D1252"/>
      <c r="E1252"/>
    </row>
    <row r="1253" spans="4:5" ht="14.5" x14ac:dyDescent="0.35">
      <c r="D1253"/>
      <c r="E1253"/>
    </row>
    <row r="1254" spans="4:5" ht="14.5" x14ac:dyDescent="0.35">
      <c r="D1254"/>
      <c r="E1254"/>
    </row>
    <row r="1255" spans="4:5" ht="14.5" x14ac:dyDescent="0.35">
      <c r="D1255"/>
      <c r="E1255"/>
    </row>
    <row r="1256" spans="4:5" ht="14.5" x14ac:dyDescent="0.35">
      <c r="D1256"/>
      <c r="E1256"/>
    </row>
    <row r="1257" spans="4:5" ht="14.5" x14ac:dyDescent="0.35">
      <c r="D1257"/>
      <c r="E1257"/>
    </row>
    <row r="1258" spans="4:5" ht="14.5" x14ac:dyDescent="0.35">
      <c r="D1258"/>
      <c r="E1258"/>
    </row>
    <row r="1259" spans="4:5" ht="14.5" x14ac:dyDescent="0.35">
      <c r="D1259"/>
      <c r="E1259"/>
    </row>
    <row r="1260" spans="4:5" ht="14.5" x14ac:dyDescent="0.35">
      <c r="D1260"/>
      <c r="E1260"/>
    </row>
    <row r="1261" spans="4:5" ht="14.5" x14ac:dyDescent="0.35">
      <c r="D1261"/>
      <c r="E1261"/>
    </row>
    <row r="1262" spans="4:5" ht="14.5" x14ac:dyDescent="0.35">
      <c r="D1262"/>
      <c r="E1262"/>
    </row>
    <row r="1263" spans="4:5" ht="14.5" x14ac:dyDescent="0.35">
      <c r="D1263"/>
      <c r="E1263"/>
    </row>
    <row r="1264" spans="4:5" ht="14.5" x14ac:dyDescent="0.35">
      <c r="D1264"/>
      <c r="E1264"/>
    </row>
    <row r="1265" spans="4:5" ht="14.5" x14ac:dyDescent="0.35">
      <c r="D1265"/>
      <c r="E1265"/>
    </row>
    <row r="1266" spans="4:5" ht="14.5" x14ac:dyDescent="0.35">
      <c r="D1266"/>
      <c r="E1266"/>
    </row>
    <row r="1267" spans="4:5" ht="14.5" x14ac:dyDescent="0.35">
      <c r="D1267"/>
      <c r="E1267"/>
    </row>
    <row r="1268" spans="4:5" ht="14.5" x14ac:dyDescent="0.35">
      <c r="D1268"/>
      <c r="E1268"/>
    </row>
    <row r="1269" spans="4:5" ht="14.5" x14ac:dyDescent="0.35">
      <c r="D1269"/>
      <c r="E1269"/>
    </row>
    <row r="1270" spans="4:5" ht="14.5" x14ac:dyDescent="0.35">
      <c r="D1270"/>
      <c r="E1270"/>
    </row>
    <row r="1271" spans="4:5" ht="14.5" x14ac:dyDescent="0.35">
      <c r="D1271"/>
      <c r="E1271"/>
    </row>
    <row r="1272" spans="4:5" ht="14.5" x14ac:dyDescent="0.35">
      <c r="D1272"/>
      <c r="E1272"/>
    </row>
    <row r="1273" spans="4:5" ht="14.5" x14ac:dyDescent="0.35">
      <c r="D1273"/>
      <c r="E1273"/>
    </row>
    <row r="1274" spans="4:5" ht="14.5" x14ac:dyDescent="0.35">
      <c r="D1274"/>
      <c r="E1274"/>
    </row>
    <row r="1275" spans="4:5" ht="14.5" x14ac:dyDescent="0.35">
      <c r="D1275"/>
      <c r="E1275"/>
    </row>
    <row r="1276" spans="4:5" ht="14.5" x14ac:dyDescent="0.35">
      <c r="D1276"/>
      <c r="E1276"/>
    </row>
    <row r="1277" spans="4:5" ht="14.5" x14ac:dyDescent="0.35">
      <c r="D1277"/>
      <c r="E1277"/>
    </row>
    <row r="1278" spans="4:5" ht="14.5" x14ac:dyDescent="0.35">
      <c r="D1278"/>
      <c r="E1278"/>
    </row>
    <row r="1279" spans="4:5" ht="14.5" x14ac:dyDescent="0.35">
      <c r="D1279"/>
      <c r="E1279"/>
    </row>
    <row r="1280" spans="4:5" ht="14.5" x14ac:dyDescent="0.35">
      <c r="D1280"/>
      <c r="E1280"/>
    </row>
    <row r="1281" spans="4:5" ht="14.5" x14ac:dyDescent="0.35">
      <c r="D1281"/>
      <c r="E1281"/>
    </row>
    <row r="1282" spans="4:5" ht="14.5" x14ac:dyDescent="0.35">
      <c r="D1282"/>
      <c r="E1282"/>
    </row>
    <row r="1283" spans="4:5" ht="14.5" x14ac:dyDescent="0.35">
      <c r="D1283"/>
      <c r="E1283"/>
    </row>
    <row r="1284" spans="4:5" ht="14.5" x14ac:dyDescent="0.35">
      <c r="D1284"/>
      <c r="E1284"/>
    </row>
    <row r="1285" spans="4:5" ht="14.5" x14ac:dyDescent="0.35">
      <c r="D1285"/>
      <c r="E1285"/>
    </row>
    <row r="1286" spans="4:5" ht="14.5" x14ac:dyDescent="0.35">
      <c r="D1286"/>
      <c r="E1286"/>
    </row>
    <row r="1287" spans="4:5" ht="14.5" x14ac:dyDescent="0.35">
      <c r="D1287"/>
      <c r="E1287"/>
    </row>
    <row r="1288" spans="4:5" ht="14.5" x14ac:dyDescent="0.35">
      <c r="D1288"/>
      <c r="E1288"/>
    </row>
    <row r="1289" spans="4:5" ht="14.5" x14ac:dyDescent="0.35">
      <c r="D1289"/>
      <c r="E1289"/>
    </row>
    <row r="1290" spans="4:5" ht="14.5" x14ac:dyDescent="0.35">
      <c r="D1290"/>
      <c r="E1290"/>
    </row>
    <row r="1291" spans="4:5" ht="14.5" x14ac:dyDescent="0.35">
      <c r="D1291"/>
      <c r="E1291"/>
    </row>
    <row r="1292" spans="4:5" ht="14.5" x14ac:dyDescent="0.35">
      <c r="D1292"/>
      <c r="E1292"/>
    </row>
    <row r="1293" spans="4:5" ht="14.5" x14ac:dyDescent="0.35">
      <c r="D1293"/>
      <c r="E1293"/>
    </row>
    <row r="1294" spans="4:5" ht="14.5" x14ac:dyDescent="0.35">
      <c r="D1294"/>
      <c r="E1294"/>
    </row>
    <row r="1295" spans="4:5" ht="14.5" x14ac:dyDescent="0.35">
      <c r="D1295"/>
      <c r="E1295"/>
    </row>
    <row r="1296" spans="4:5" ht="14.5" x14ac:dyDescent="0.35">
      <c r="D1296"/>
      <c r="E1296"/>
    </row>
    <row r="1297" spans="4:5" ht="14.5" x14ac:dyDescent="0.35">
      <c r="D1297"/>
      <c r="E1297"/>
    </row>
    <row r="1298" spans="4:5" ht="14.5" x14ac:dyDescent="0.35">
      <c r="D1298"/>
      <c r="E1298"/>
    </row>
    <row r="1299" spans="4:5" ht="14.5" x14ac:dyDescent="0.35">
      <c r="D1299"/>
      <c r="E1299"/>
    </row>
    <row r="1300" spans="4:5" ht="14.5" x14ac:dyDescent="0.35">
      <c r="D1300"/>
      <c r="E1300"/>
    </row>
    <row r="1301" spans="4:5" ht="14.5" x14ac:dyDescent="0.35">
      <c r="D1301"/>
      <c r="E1301"/>
    </row>
    <row r="1302" spans="4:5" ht="14.5" x14ac:dyDescent="0.35">
      <c r="D1302"/>
      <c r="E1302"/>
    </row>
    <row r="1303" spans="4:5" ht="14.5" x14ac:dyDescent="0.35">
      <c r="D1303"/>
      <c r="E1303"/>
    </row>
    <row r="1304" spans="4:5" ht="14.5" x14ac:dyDescent="0.35">
      <c r="D1304"/>
      <c r="E1304"/>
    </row>
    <row r="1305" spans="4:5" ht="14.5" x14ac:dyDescent="0.35">
      <c r="D1305"/>
      <c r="E1305"/>
    </row>
    <row r="1306" spans="4:5" ht="14.5" x14ac:dyDescent="0.35">
      <c r="D1306"/>
      <c r="E1306"/>
    </row>
    <row r="1307" spans="4:5" ht="14.5" x14ac:dyDescent="0.35">
      <c r="D1307"/>
      <c r="E1307"/>
    </row>
    <row r="1308" spans="4:5" ht="14.5" x14ac:dyDescent="0.35">
      <c r="D1308"/>
      <c r="E1308"/>
    </row>
    <row r="1309" spans="4:5" ht="14.5" x14ac:dyDescent="0.35">
      <c r="D1309"/>
      <c r="E1309"/>
    </row>
    <row r="1310" spans="4:5" ht="14.5" x14ac:dyDescent="0.35">
      <c r="D1310"/>
      <c r="E1310"/>
    </row>
    <row r="1311" spans="4:5" ht="14.5" x14ac:dyDescent="0.35">
      <c r="D1311"/>
      <c r="E1311"/>
    </row>
    <row r="1312" spans="4:5" ht="14.5" x14ac:dyDescent="0.35">
      <c r="D1312"/>
      <c r="E1312"/>
    </row>
    <row r="1313" spans="4:5" ht="14.5" x14ac:dyDescent="0.35">
      <c r="D1313"/>
      <c r="E1313"/>
    </row>
    <row r="1314" spans="4:5" ht="14.5" x14ac:dyDescent="0.35">
      <c r="D1314"/>
      <c r="E1314"/>
    </row>
    <row r="1315" spans="4:5" ht="14.5" x14ac:dyDescent="0.35">
      <c r="D1315"/>
      <c r="E1315"/>
    </row>
    <row r="1316" spans="4:5" ht="14.5" x14ac:dyDescent="0.35">
      <c r="D1316"/>
      <c r="E1316"/>
    </row>
    <row r="1317" spans="4:5" ht="14.5" x14ac:dyDescent="0.35">
      <c r="D1317"/>
      <c r="E1317"/>
    </row>
    <row r="1318" spans="4:5" ht="14.5" x14ac:dyDescent="0.35">
      <c r="D1318"/>
      <c r="E1318"/>
    </row>
    <row r="1319" spans="4:5" ht="14.5" x14ac:dyDescent="0.35">
      <c r="D1319"/>
      <c r="E1319"/>
    </row>
    <row r="1320" spans="4:5" ht="14.5" x14ac:dyDescent="0.35">
      <c r="D1320"/>
      <c r="E1320"/>
    </row>
    <row r="1321" spans="4:5" ht="14.5" x14ac:dyDescent="0.35">
      <c r="D1321"/>
      <c r="E1321"/>
    </row>
    <row r="1322" spans="4:5" ht="14.5" x14ac:dyDescent="0.35">
      <c r="D1322"/>
      <c r="E1322"/>
    </row>
    <row r="1323" spans="4:5" ht="14.5" x14ac:dyDescent="0.35">
      <c r="D1323"/>
      <c r="E1323"/>
    </row>
    <row r="1324" spans="4:5" ht="14.5" x14ac:dyDescent="0.35">
      <c r="D1324"/>
      <c r="E1324"/>
    </row>
    <row r="1325" spans="4:5" ht="14.5" x14ac:dyDescent="0.35">
      <c r="D1325"/>
      <c r="E1325"/>
    </row>
    <row r="1326" spans="4:5" ht="14.5" x14ac:dyDescent="0.35">
      <c r="D1326"/>
      <c r="E1326"/>
    </row>
    <row r="1327" spans="4:5" ht="14.5" x14ac:dyDescent="0.35">
      <c r="D1327"/>
      <c r="E1327"/>
    </row>
    <row r="1328" spans="4:5" ht="14.5" x14ac:dyDescent="0.35">
      <c r="D1328"/>
      <c r="E1328"/>
    </row>
    <row r="1329" spans="4:5" ht="14.5" x14ac:dyDescent="0.35">
      <c r="D1329"/>
      <c r="E1329"/>
    </row>
    <row r="1330" spans="4:5" ht="14.5" x14ac:dyDescent="0.35">
      <c r="D1330"/>
      <c r="E1330"/>
    </row>
    <row r="1331" spans="4:5" ht="14.5" x14ac:dyDescent="0.35">
      <c r="D1331"/>
      <c r="E1331"/>
    </row>
    <row r="1332" spans="4:5" ht="14.5" x14ac:dyDescent="0.35">
      <c r="D1332"/>
      <c r="E1332"/>
    </row>
    <row r="1333" spans="4:5" ht="14.5" x14ac:dyDescent="0.35">
      <c r="D1333"/>
      <c r="E1333"/>
    </row>
    <row r="1334" spans="4:5" ht="14.5" x14ac:dyDescent="0.35">
      <c r="D1334"/>
      <c r="E1334"/>
    </row>
    <row r="1335" spans="4:5" ht="14.5" x14ac:dyDescent="0.35">
      <c r="D1335"/>
      <c r="E1335"/>
    </row>
    <row r="1336" spans="4:5" ht="14.5" x14ac:dyDescent="0.35">
      <c r="D1336"/>
      <c r="E1336"/>
    </row>
    <row r="1337" spans="4:5" ht="14.5" x14ac:dyDescent="0.35">
      <c r="D1337"/>
      <c r="E1337"/>
    </row>
    <row r="1338" spans="4:5" ht="14.5" x14ac:dyDescent="0.35">
      <c r="D1338"/>
      <c r="E1338"/>
    </row>
    <row r="1339" spans="4:5" ht="14.5" x14ac:dyDescent="0.35">
      <c r="D1339"/>
      <c r="E1339"/>
    </row>
    <row r="1340" spans="4:5" ht="14.5" x14ac:dyDescent="0.35">
      <c r="D1340"/>
      <c r="E1340"/>
    </row>
    <row r="1341" spans="4:5" ht="14.5" x14ac:dyDescent="0.35">
      <c r="D1341"/>
      <c r="E1341"/>
    </row>
    <row r="1342" spans="4:5" ht="14.5" x14ac:dyDescent="0.35">
      <c r="D1342"/>
      <c r="E1342"/>
    </row>
    <row r="1343" spans="4:5" ht="14.5" x14ac:dyDescent="0.35">
      <c r="D1343"/>
      <c r="E1343"/>
    </row>
    <row r="1344" spans="4:5" ht="14.5" x14ac:dyDescent="0.35">
      <c r="D1344"/>
      <c r="E1344"/>
    </row>
    <row r="1345" spans="4:5" ht="14.5" x14ac:dyDescent="0.35">
      <c r="D1345"/>
      <c r="E1345"/>
    </row>
    <row r="1346" spans="4:5" ht="14.5" x14ac:dyDescent="0.35">
      <c r="D1346"/>
      <c r="E1346"/>
    </row>
    <row r="1347" spans="4:5" ht="14.5" x14ac:dyDescent="0.35">
      <c r="D1347"/>
      <c r="E1347"/>
    </row>
    <row r="1348" spans="4:5" ht="14.5" x14ac:dyDescent="0.35">
      <c r="D1348"/>
      <c r="E1348"/>
    </row>
    <row r="1349" spans="4:5" ht="14.5" x14ac:dyDescent="0.35">
      <c r="D1349"/>
      <c r="E1349"/>
    </row>
    <row r="1350" spans="4:5" ht="14.5" x14ac:dyDescent="0.35">
      <c r="D1350"/>
      <c r="E1350"/>
    </row>
    <row r="1351" spans="4:5" ht="14.5" x14ac:dyDescent="0.35">
      <c r="D1351"/>
      <c r="E1351"/>
    </row>
    <row r="1352" spans="4:5" ht="14.5" x14ac:dyDescent="0.35">
      <c r="D1352"/>
      <c r="E1352"/>
    </row>
    <row r="1353" spans="4:5" ht="14.5" x14ac:dyDescent="0.35">
      <c r="D1353"/>
      <c r="E1353"/>
    </row>
    <row r="1354" spans="4:5" ht="14.5" x14ac:dyDescent="0.35">
      <c r="D1354"/>
      <c r="E1354"/>
    </row>
    <row r="1355" spans="4:5" ht="14.5" x14ac:dyDescent="0.35">
      <c r="D1355"/>
      <c r="E1355"/>
    </row>
    <row r="1356" spans="4:5" ht="14.5" x14ac:dyDescent="0.35">
      <c r="D1356"/>
      <c r="E1356"/>
    </row>
    <row r="1357" spans="4:5" ht="14.5" x14ac:dyDescent="0.35">
      <c r="D1357"/>
      <c r="E1357"/>
    </row>
    <row r="1358" spans="4:5" ht="14.5" x14ac:dyDescent="0.35">
      <c r="D1358"/>
      <c r="E1358"/>
    </row>
    <row r="1359" spans="4:5" ht="14.5" x14ac:dyDescent="0.35">
      <c r="D1359"/>
      <c r="E1359"/>
    </row>
    <row r="1360" spans="4:5" ht="14.5" x14ac:dyDescent="0.35">
      <c r="D1360"/>
      <c r="E1360"/>
    </row>
    <row r="1361" spans="4:5" ht="14.5" x14ac:dyDescent="0.35">
      <c r="D1361"/>
      <c r="E1361"/>
    </row>
    <row r="1362" spans="4:5" ht="14.5" x14ac:dyDescent="0.35">
      <c r="D1362"/>
      <c r="E1362"/>
    </row>
    <row r="1363" spans="4:5" ht="14.5" x14ac:dyDescent="0.35">
      <c r="D1363"/>
      <c r="E1363"/>
    </row>
    <row r="1364" spans="4:5" ht="14.5" x14ac:dyDescent="0.35">
      <c r="D1364"/>
      <c r="E1364"/>
    </row>
    <row r="1365" spans="4:5" ht="14.5" x14ac:dyDescent="0.35">
      <c r="D1365"/>
      <c r="E1365"/>
    </row>
    <row r="1366" spans="4:5" ht="14.5" x14ac:dyDescent="0.35">
      <c r="D1366"/>
      <c r="E1366"/>
    </row>
    <row r="1367" spans="4:5" ht="14.5" x14ac:dyDescent="0.35">
      <c r="D1367"/>
      <c r="E1367"/>
    </row>
    <row r="1368" spans="4:5" ht="14.5" x14ac:dyDescent="0.35">
      <c r="D1368"/>
      <c r="E1368"/>
    </row>
    <row r="1369" spans="4:5" ht="14.5" x14ac:dyDescent="0.35">
      <c r="D1369"/>
      <c r="E1369"/>
    </row>
    <row r="1370" spans="4:5" ht="14.5" x14ac:dyDescent="0.35">
      <c r="D1370"/>
      <c r="E1370"/>
    </row>
    <row r="1371" spans="4:5" ht="14.5" x14ac:dyDescent="0.35">
      <c r="D1371"/>
      <c r="E1371"/>
    </row>
    <row r="1372" spans="4:5" ht="14.5" x14ac:dyDescent="0.35">
      <c r="D1372"/>
      <c r="E1372"/>
    </row>
    <row r="1373" spans="4:5" ht="14.5" x14ac:dyDescent="0.35">
      <c r="D1373"/>
      <c r="E1373"/>
    </row>
    <row r="1374" spans="4:5" ht="14.5" x14ac:dyDescent="0.35">
      <c r="D1374"/>
      <c r="E1374"/>
    </row>
    <row r="1375" spans="4:5" ht="14.5" x14ac:dyDescent="0.35">
      <c r="D1375"/>
      <c r="E1375"/>
    </row>
    <row r="1376" spans="4:5" ht="14.5" x14ac:dyDescent="0.35">
      <c r="D1376"/>
      <c r="E1376"/>
    </row>
    <row r="1377" spans="4:5" ht="14.5" x14ac:dyDescent="0.35">
      <c r="D1377"/>
      <c r="E1377"/>
    </row>
    <row r="1378" spans="4:5" ht="14.5" x14ac:dyDescent="0.35">
      <c r="D1378"/>
      <c r="E1378"/>
    </row>
    <row r="1379" spans="4:5" ht="14.5" x14ac:dyDescent="0.35">
      <c r="D1379"/>
      <c r="E1379"/>
    </row>
    <row r="1380" spans="4:5" ht="14.5" x14ac:dyDescent="0.35">
      <c r="D1380"/>
      <c r="E1380"/>
    </row>
    <row r="1381" spans="4:5" ht="14.5" x14ac:dyDescent="0.35">
      <c r="D1381"/>
      <c r="E1381"/>
    </row>
    <row r="1382" spans="4:5" ht="14.5" x14ac:dyDescent="0.35">
      <c r="D1382"/>
      <c r="E1382"/>
    </row>
    <row r="1383" spans="4:5" ht="14.5" x14ac:dyDescent="0.35">
      <c r="D1383"/>
      <c r="E1383"/>
    </row>
    <row r="1384" spans="4:5" ht="14.5" x14ac:dyDescent="0.35">
      <c r="D1384"/>
      <c r="E1384"/>
    </row>
    <row r="1385" spans="4:5" ht="14.5" x14ac:dyDescent="0.35">
      <c r="D1385"/>
      <c r="E1385"/>
    </row>
    <row r="1386" spans="4:5" ht="14.5" x14ac:dyDescent="0.35">
      <c r="D1386"/>
      <c r="E1386"/>
    </row>
    <row r="1387" spans="4:5" ht="14.5" x14ac:dyDescent="0.35">
      <c r="D1387"/>
      <c r="E1387"/>
    </row>
    <row r="1388" spans="4:5" ht="14.5" x14ac:dyDescent="0.35">
      <c r="D1388"/>
      <c r="E1388"/>
    </row>
    <row r="1389" spans="4:5" ht="14.5" x14ac:dyDescent="0.35">
      <c r="D1389"/>
      <c r="E1389"/>
    </row>
    <row r="1390" spans="4:5" ht="14.5" x14ac:dyDescent="0.35">
      <c r="D1390"/>
      <c r="E1390"/>
    </row>
    <row r="1391" spans="4:5" ht="14.5" x14ac:dyDescent="0.35">
      <c r="D1391"/>
      <c r="E1391"/>
    </row>
    <row r="1392" spans="4:5" ht="14.5" x14ac:dyDescent="0.35">
      <c r="D1392"/>
      <c r="E1392"/>
    </row>
    <row r="1393" spans="4:5" ht="14.5" x14ac:dyDescent="0.35">
      <c r="D1393"/>
      <c r="E1393"/>
    </row>
    <row r="1394" spans="4:5" ht="14.5" x14ac:dyDescent="0.35">
      <c r="D1394"/>
      <c r="E1394"/>
    </row>
    <row r="1395" spans="4:5" ht="14.5" x14ac:dyDescent="0.35">
      <c r="D1395"/>
      <c r="E1395"/>
    </row>
    <row r="1396" spans="4:5" ht="14.5" x14ac:dyDescent="0.35">
      <c r="D1396"/>
      <c r="E1396"/>
    </row>
    <row r="1397" spans="4:5" ht="14.5" x14ac:dyDescent="0.35">
      <c r="D1397"/>
      <c r="E1397"/>
    </row>
    <row r="1398" spans="4:5" ht="14.5" x14ac:dyDescent="0.35">
      <c r="D1398"/>
      <c r="E1398"/>
    </row>
    <row r="1399" spans="4:5" ht="14.5" x14ac:dyDescent="0.35">
      <c r="D1399"/>
      <c r="E1399"/>
    </row>
    <row r="1400" spans="4:5" ht="14.5" x14ac:dyDescent="0.35">
      <c r="D1400"/>
      <c r="E1400"/>
    </row>
    <row r="1401" spans="4:5" ht="14.5" x14ac:dyDescent="0.35">
      <c r="D1401"/>
      <c r="E1401"/>
    </row>
    <row r="1402" spans="4:5" ht="14.5" x14ac:dyDescent="0.35">
      <c r="D1402"/>
      <c r="E1402"/>
    </row>
    <row r="1403" spans="4:5" ht="14.5" x14ac:dyDescent="0.35">
      <c r="D1403"/>
      <c r="E1403"/>
    </row>
    <row r="1404" spans="4:5" ht="14.5" x14ac:dyDescent="0.35">
      <c r="D1404"/>
      <c r="E1404"/>
    </row>
    <row r="1405" spans="4:5" ht="14.5" x14ac:dyDescent="0.35">
      <c r="D1405"/>
      <c r="E1405"/>
    </row>
    <row r="1406" spans="4:5" ht="14.5" x14ac:dyDescent="0.35">
      <c r="D1406"/>
      <c r="E1406"/>
    </row>
    <row r="1407" spans="4:5" ht="14.5" x14ac:dyDescent="0.35">
      <c r="D1407"/>
      <c r="E1407"/>
    </row>
    <row r="1408" spans="4:5" ht="14.5" x14ac:dyDescent="0.35">
      <c r="D1408"/>
      <c r="E1408"/>
    </row>
    <row r="1409" spans="4:5" ht="14.5" x14ac:dyDescent="0.35">
      <c r="D1409"/>
      <c r="E1409"/>
    </row>
    <row r="1410" spans="4:5" ht="14.5" x14ac:dyDescent="0.35">
      <c r="D1410"/>
      <c r="E1410"/>
    </row>
    <row r="1411" spans="4:5" ht="14.5" x14ac:dyDescent="0.35">
      <c r="D1411"/>
      <c r="E1411"/>
    </row>
    <row r="1412" spans="4:5" ht="14.5" x14ac:dyDescent="0.35">
      <c r="D1412"/>
      <c r="E1412"/>
    </row>
    <row r="1413" spans="4:5" ht="14.5" x14ac:dyDescent="0.35">
      <c r="D1413"/>
      <c r="E1413"/>
    </row>
    <row r="1414" spans="4:5" ht="14.5" x14ac:dyDescent="0.35">
      <c r="D1414"/>
      <c r="E1414"/>
    </row>
    <row r="1415" spans="4:5" ht="14.5" x14ac:dyDescent="0.35">
      <c r="D1415"/>
      <c r="E1415"/>
    </row>
    <row r="1416" spans="4:5" ht="14.5" x14ac:dyDescent="0.35">
      <c r="D1416"/>
      <c r="E1416"/>
    </row>
    <row r="1417" spans="4:5" ht="14.5" x14ac:dyDescent="0.35">
      <c r="D1417"/>
      <c r="E1417"/>
    </row>
    <row r="1418" spans="4:5" ht="14.5" x14ac:dyDescent="0.35">
      <c r="D1418"/>
      <c r="E1418"/>
    </row>
    <row r="1419" spans="4:5" ht="14.5" x14ac:dyDescent="0.35">
      <c r="D1419"/>
      <c r="E1419"/>
    </row>
    <row r="1420" spans="4:5" ht="14.5" x14ac:dyDescent="0.35">
      <c r="D1420"/>
      <c r="E1420"/>
    </row>
    <row r="1421" spans="4:5" ht="14.5" x14ac:dyDescent="0.35">
      <c r="D1421"/>
      <c r="E1421"/>
    </row>
    <row r="1422" spans="4:5" ht="14.5" x14ac:dyDescent="0.35">
      <c r="D1422"/>
      <c r="E1422"/>
    </row>
    <row r="1423" spans="4:5" ht="14.5" x14ac:dyDescent="0.35">
      <c r="D1423"/>
      <c r="E1423"/>
    </row>
    <row r="1424" spans="4:5" ht="14.5" x14ac:dyDescent="0.35">
      <c r="D1424"/>
      <c r="E1424"/>
    </row>
    <row r="1425" spans="4:5" ht="14.5" x14ac:dyDescent="0.35">
      <c r="D1425"/>
      <c r="E1425"/>
    </row>
    <row r="1426" spans="4:5" ht="14.5" x14ac:dyDescent="0.35">
      <c r="D1426"/>
      <c r="E1426"/>
    </row>
    <row r="1427" spans="4:5" ht="14.5" x14ac:dyDescent="0.35">
      <c r="D1427"/>
      <c r="E1427"/>
    </row>
    <row r="1428" spans="4:5" ht="14.5" x14ac:dyDescent="0.35">
      <c r="D1428"/>
      <c r="E1428"/>
    </row>
    <row r="1429" spans="4:5" ht="14.5" x14ac:dyDescent="0.35">
      <c r="D1429"/>
      <c r="E1429"/>
    </row>
    <row r="1430" spans="4:5" ht="14.5" x14ac:dyDescent="0.35">
      <c r="D1430"/>
      <c r="E1430"/>
    </row>
    <row r="1431" spans="4:5" ht="14.5" x14ac:dyDescent="0.35">
      <c r="D1431"/>
      <c r="E1431"/>
    </row>
    <row r="1432" spans="4:5" ht="14.5" x14ac:dyDescent="0.35">
      <c r="D1432"/>
      <c r="E1432"/>
    </row>
    <row r="1433" spans="4:5" ht="14.5" x14ac:dyDescent="0.35">
      <c r="D1433"/>
      <c r="E1433"/>
    </row>
    <row r="1434" spans="4:5" ht="14.5" x14ac:dyDescent="0.35">
      <c r="D1434"/>
      <c r="E1434"/>
    </row>
    <row r="1435" spans="4:5" ht="14.5" x14ac:dyDescent="0.35">
      <c r="D1435"/>
      <c r="E1435"/>
    </row>
    <row r="1436" spans="4:5" ht="14.5" x14ac:dyDescent="0.35">
      <c r="D1436"/>
      <c r="E1436"/>
    </row>
    <row r="1437" spans="4:5" ht="14.5" x14ac:dyDescent="0.35">
      <c r="D1437"/>
      <c r="E1437"/>
    </row>
    <row r="1438" spans="4:5" ht="14.5" x14ac:dyDescent="0.35">
      <c r="D1438"/>
      <c r="E1438"/>
    </row>
    <row r="1439" spans="4:5" ht="14.5" x14ac:dyDescent="0.35">
      <c r="D1439"/>
      <c r="E1439"/>
    </row>
    <row r="1440" spans="4:5" ht="14.5" x14ac:dyDescent="0.35">
      <c r="D1440"/>
      <c r="E1440"/>
    </row>
    <row r="1441" spans="4:5" ht="14.5" x14ac:dyDescent="0.35">
      <c r="D1441"/>
      <c r="E1441"/>
    </row>
    <row r="1442" spans="4:5" ht="14.5" x14ac:dyDescent="0.35">
      <c r="D1442"/>
      <c r="E1442"/>
    </row>
    <row r="1443" spans="4:5" ht="14.5" x14ac:dyDescent="0.35">
      <c r="D1443"/>
      <c r="E1443"/>
    </row>
    <row r="1444" spans="4:5" ht="14.5" x14ac:dyDescent="0.35">
      <c r="D1444"/>
      <c r="E1444"/>
    </row>
    <row r="1445" spans="4:5" ht="14.5" x14ac:dyDescent="0.35">
      <c r="D1445"/>
      <c r="E1445"/>
    </row>
    <row r="1446" spans="4:5" ht="14.5" x14ac:dyDescent="0.35">
      <c r="D1446"/>
      <c r="E1446"/>
    </row>
    <row r="1447" spans="4:5" ht="14.5" x14ac:dyDescent="0.35">
      <c r="D1447"/>
      <c r="E1447"/>
    </row>
    <row r="1448" spans="4:5" ht="14.5" x14ac:dyDescent="0.35">
      <c r="D1448"/>
      <c r="E1448"/>
    </row>
    <row r="1449" spans="4:5" ht="14.5" x14ac:dyDescent="0.35">
      <c r="D1449"/>
      <c r="E1449"/>
    </row>
    <row r="1450" spans="4:5" ht="14.5" x14ac:dyDescent="0.35">
      <c r="D1450"/>
      <c r="E1450"/>
    </row>
    <row r="1451" spans="4:5" ht="14.5" x14ac:dyDescent="0.35">
      <c r="D1451"/>
      <c r="E1451"/>
    </row>
    <row r="1452" spans="4:5" ht="14.5" x14ac:dyDescent="0.35">
      <c r="D1452"/>
      <c r="E1452"/>
    </row>
    <row r="1453" spans="4:5" ht="14.5" x14ac:dyDescent="0.35">
      <c r="D1453"/>
      <c r="E1453"/>
    </row>
    <row r="1454" spans="4:5" ht="14.5" x14ac:dyDescent="0.35">
      <c r="D1454"/>
      <c r="E1454"/>
    </row>
    <row r="1455" spans="4:5" ht="14.5" x14ac:dyDescent="0.35">
      <c r="D1455"/>
      <c r="E1455"/>
    </row>
    <row r="1456" spans="4:5" ht="14.5" x14ac:dyDescent="0.35">
      <c r="D1456"/>
      <c r="E1456"/>
    </row>
    <row r="1457" spans="4:5" ht="14.5" x14ac:dyDescent="0.35">
      <c r="D1457"/>
      <c r="E1457"/>
    </row>
    <row r="1458" spans="4:5" ht="14.5" x14ac:dyDescent="0.35">
      <c r="D1458"/>
      <c r="E1458"/>
    </row>
    <row r="1459" spans="4:5" ht="14.5" x14ac:dyDescent="0.35">
      <c r="D1459"/>
      <c r="E1459"/>
    </row>
    <row r="1460" spans="4:5" ht="14.5" x14ac:dyDescent="0.35">
      <c r="D1460"/>
      <c r="E1460"/>
    </row>
    <row r="1461" spans="4:5" ht="14.5" x14ac:dyDescent="0.35">
      <c r="D1461"/>
      <c r="E1461"/>
    </row>
    <row r="1462" spans="4:5" ht="14.5" x14ac:dyDescent="0.35">
      <c r="D1462"/>
      <c r="E1462"/>
    </row>
    <row r="1463" spans="4:5" ht="14.5" x14ac:dyDescent="0.35">
      <c r="D1463"/>
      <c r="E1463"/>
    </row>
    <row r="1464" spans="4:5" ht="14.5" x14ac:dyDescent="0.35">
      <c r="D1464"/>
      <c r="E1464"/>
    </row>
    <row r="1465" spans="4:5" ht="14.5" x14ac:dyDescent="0.35">
      <c r="D1465"/>
      <c r="E1465"/>
    </row>
    <row r="1466" spans="4:5" ht="14.5" x14ac:dyDescent="0.35">
      <c r="D1466"/>
      <c r="E1466"/>
    </row>
    <row r="1467" spans="4:5" ht="14.5" x14ac:dyDescent="0.35">
      <c r="D1467"/>
      <c r="E1467"/>
    </row>
    <row r="1468" spans="4:5" ht="14.5" x14ac:dyDescent="0.35">
      <c r="D1468"/>
      <c r="E1468"/>
    </row>
    <row r="1469" spans="4:5" ht="14.5" x14ac:dyDescent="0.35">
      <c r="D1469"/>
      <c r="E1469"/>
    </row>
    <row r="1470" spans="4:5" ht="14.5" x14ac:dyDescent="0.35">
      <c r="D1470"/>
      <c r="E1470"/>
    </row>
    <row r="1471" spans="4:5" ht="14.5" x14ac:dyDescent="0.35">
      <c r="D1471"/>
      <c r="E1471"/>
    </row>
    <row r="1472" spans="4:5" ht="14.5" x14ac:dyDescent="0.35">
      <c r="D1472"/>
      <c r="E1472"/>
    </row>
    <row r="1473" spans="4:5" ht="14.5" x14ac:dyDescent="0.35">
      <c r="D1473"/>
      <c r="E1473"/>
    </row>
    <row r="1474" spans="4:5" ht="14.5" x14ac:dyDescent="0.35">
      <c r="D1474"/>
      <c r="E1474"/>
    </row>
    <row r="1475" spans="4:5" ht="14.5" x14ac:dyDescent="0.35">
      <c r="D1475"/>
      <c r="E1475"/>
    </row>
    <row r="1476" spans="4:5" ht="14.5" x14ac:dyDescent="0.35">
      <c r="D1476"/>
      <c r="E1476"/>
    </row>
    <row r="1477" spans="4:5" ht="14.5" x14ac:dyDescent="0.35">
      <c r="D1477"/>
      <c r="E1477"/>
    </row>
    <row r="1478" spans="4:5" ht="14.5" x14ac:dyDescent="0.35">
      <c r="D1478"/>
      <c r="E1478"/>
    </row>
    <row r="1479" spans="4:5" ht="14.5" x14ac:dyDescent="0.35">
      <c r="D1479"/>
      <c r="E1479"/>
    </row>
    <row r="1480" spans="4:5" ht="14.5" x14ac:dyDescent="0.35">
      <c r="D1480"/>
      <c r="E1480"/>
    </row>
    <row r="1481" spans="4:5" ht="14.5" x14ac:dyDescent="0.35">
      <c r="D1481"/>
      <c r="E1481"/>
    </row>
    <row r="1482" spans="4:5" ht="14.5" x14ac:dyDescent="0.35">
      <c r="D1482"/>
      <c r="E1482"/>
    </row>
    <row r="1483" spans="4:5" ht="14.5" x14ac:dyDescent="0.35">
      <c r="D1483"/>
      <c r="E1483"/>
    </row>
    <row r="1484" spans="4:5" ht="14.5" x14ac:dyDescent="0.35">
      <c r="D1484"/>
      <c r="E1484"/>
    </row>
    <row r="1485" spans="4:5" ht="14.5" x14ac:dyDescent="0.35">
      <c r="D1485"/>
      <c r="E1485"/>
    </row>
    <row r="1486" spans="4:5" ht="14.5" x14ac:dyDescent="0.35">
      <c r="D1486"/>
      <c r="E1486"/>
    </row>
    <row r="1487" spans="4:5" ht="14.5" x14ac:dyDescent="0.35">
      <c r="D1487"/>
      <c r="E1487"/>
    </row>
    <row r="1488" spans="4:5" ht="14.5" x14ac:dyDescent="0.35">
      <c r="D1488"/>
      <c r="E1488"/>
    </row>
    <row r="1489" spans="4:5" ht="14.5" x14ac:dyDescent="0.35">
      <c r="D1489"/>
      <c r="E1489"/>
    </row>
    <row r="1490" spans="4:5" ht="14.5" x14ac:dyDescent="0.35">
      <c r="D1490"/>
      <c r="E1490"/>
    </row>
    <row r="1491" spans="4:5" ht="14.5" x14ac:dyDescent="0.35">
      <c r="D1491"/>
      <c r="E1491"/>
    </row>
    <row r="1492" spans="4:5" ht="14.5" x14ac:dyDescent="0.35">
      <c r="D1492"/>
      <c r="E1492"/>
    </row>
    <row r="1493" spans="4:5" ht="14.5" x14ac:dyDescent="0.35">
      <c r="D1493"/>
      <c r="E1493"/>
    </row>
    <row r="1494" spans="4:5" ht="14.5" x14ac:dyDescent="0.35">
      <c r="D1494"/>
      <c r="E1494"/>
    </row>
    <row r="1495" spans="4:5" ht="14.5" x14ac:dyDescent="0.35">
      <c r="D1495"/>
      <c r="E1495"/>
    </row>
    <row r="1496" spans="4:5" ht="14.5" x14ac:dyDescent="0.35">
      <c r="D1496"/>
      <c r="E1496"/>
    </row>
    <row r="1497" spans="4:5" ht="14.5" x14ac:dyDescent="0.35">
      <c r="D1497"/>
      <c r="E1497"/>
    </row>
    <row r="1498" spans="4:5" ht="14.5" x14ac:dyDescent="0.35">
      <c r="D1498"/>
      <c r="E1498"/>
    </row>
    <row r="1499" spans="4:5" ht="14.5" x14ac:dyDescent="0.35">
      <c r="D1499"/>
      <c r="E1499"/>
    </row>
    <row r="1500" spans="4:5" ht="14.5" x14ac:dyDescent="0.35">
      <c r="D1500"/>
      <c r="E1500"/>
    </row>
    <row r="1501" spans="4:5" ht="14.5" x14ac:dyDescent="0.35">
      <c r="D1501"/>
      <c r="E1501"/>
    </row>
    <row r="1502" spans="4:5" ht="14.5" x14ac:dyDescent="0.35">
      <c r="D1502"/>
      <c r="E1502"/>
    </row>
    <row r="1503" spans="4:5" ht="14.5" x14ac:dyDescent="0.35">
      <c r="D1503"/>
      <c r="E1503"/>
    </row>
    <row r="1504" spans="4:5" ht="14.5" x14ac:dyDescent="0.35">
      <c r="D1504"/>
      <c r="E1504"/>
    </row>
    <row r="1505" spans="4:5" ht="14.5" x14ac:dyDescent="0.35">
      <c r="D1505"/>
      <c r="E1505"/>
    </row>
    <row r="1506" spans="4:5" ht="14.5" x14ac:dyDescent="0.35">
      <c r="D1506"/>
      <c r="E1506"/>
    </row>
    <row r="1507" spans="4:5" ht="14.5" x14ac:dyDescent="0.35">
      <c r="D1507"/>
      <c r="E1507"/>
    </row>
    <row r="1508" spans="4:5" ht="14.5" x14ac:dyDescent="0.35">
      <c r="D1508"/>
      <c r="E1508"/>
    </row>
    <row r="1509" spans="4:5" ht="14.5" x14ac:dyDescent="0.35">
      <c r="D1509"/>
      <c r="E1509"/>
    </row>
    <row r="1510" spans="4:5" ht="14.5" x14ac:dyDescent="0.35">
      <c r="D1510"/>
      <c r="E1510"/>
    </row>
    <row r="1511" spans="4:5" ht="14.5" x14ac:dyDescent="0.35">
      <c r="D1511"/>
      <c r="E1511"/>
    </row>
    <row r="1512" spans="4:5" ht="14.5" x14ac:dyDescent="0.35">
      <c r="D1512"/>
      <c r="E1512"/>
    </row>
    <row r="1513" spans="4:5" ht="14.5" x14ac:dyDescent="0.35">
      <c r="D1513"/>
      <c r="E1513"/>
    </row>
    <row r="1514" spans="4:5" ht="14.5" x14ac:dyDescent="0.35">
      <c r="D1514"/>
      <c r="E1514"/>
    </row>
    <row r="1515" spans="4:5" ht="14.5" x14ac:dyDescent="0.35">
      <c r="D1515"/>
      <c r="E1515"/>
    </row>
    <row r="1516" spans="4:5" ht="14.5" x14ac:dyDescent="0.35">
      <c r="D1516"/>
      <c r="E1516"/>
    </row>
    <row r="1517" spans="4:5" ht="14.5" x14ac:dyDescent="0.35">
      <c r="D1517"/>
      <c r="E1517"/>
    </row>
    <row r="1518" spans="4:5" ht="14.5" x14ac:dyDescent="0.35">
      <c r="D1518"/>
      <c r="E1518"/>
    </row>
    <row r="1519" spans="4:5" ht="14.5" x14ac:dyDescent="0.35">
      <c r="D1519"/>
      <c r="E1519"/>
    </row>
    <row r="1520" spans="4:5" ht="14.5" x14ac:dyDescent="0.35">
      <c r="D1520"/>
      <c r="E1520"/>
    </row>
    <row r="1521" spans="4:5" ht="14.5" x14ac:dyDescent="0.35">
      <c r="D1521"/>
      <c r="E1521"/>
    </row>
    <row r="1522" spans="4:5" ht="14.5" x14ac:dyDescent="0.35">
      <c r="D1522"/>
      <c r="E1522"/>
    </row>
    <row r="1523" spans="4:5" ht="14.5" x14ac:dyDescent="0.35">
      <c r="D1523"/>
      <c r="E1523"/>
    </row>
    <row r="1524" spans="4:5" ht="14.5" x14ac:dyDescent="0.35">
      <c r="D1524"/>
      <c r="E1524"/>
    </row>
    <row r="1525" spans="4:5" ht="14.5" x14ac:dyDescent="0.35">
      <c r="D1525"/>
      <c r="E1525"/>
    </row>
    <row r="1526" spans="4:5" ht="14.5" x14ac:dyDescent="0.35">
      <c r="D1526"/>
      <c r="E1526"/>
    </row>
    <row r="1527" spans="4:5" ht="14.5" x14ac:dyDescent="0.35">
      <c r="D1527"/>
      <c r="E1527"/>
    </row>
    <row r="1528" spans="4:5" ht="14.5" x14ac:dyDescent="0.35">
      <c r="D1528"/>
      <c r="E1528"/>
    </row>
    <row r="1529" spans="4:5" ht="14.5" x14ac:dyDescent="0.35">
      <c r="D1529"/>
      <c r="E1529"/>
    </row>
    <row r="1530" spans="4:5" ht="14.5" x14ac:dyDescent="0.35">
      <c r="D1530"/>
      <c r="E1530"/>
    </row>
    <row r="1531" spans="4:5" ht="14.5" x14ac:dyDescent="0.35">
      <c r="D1531"/>
      <c r="E1531"/>
    </row>
    <row r="1532" spans="4:5" ht="14.5" x14ac:dyDescent="0.35">
      <c r="D1532"/>
      <c r="E1532"/>
    </row>
    <row r="1533" spans="4:5" ht="14.5" x14ac:dyDescent="0.35">
      <c r="D1533"/>
      <c r="E1533"/>
    </row>
    <row r="1534" spans="4:5" ht="14.5" x14ac:dyDescent="0.35">
      <c r="D1534"/>
      <c r="E1534"/>
    </row>
    <row r="1535" spans="4:5" ht="14.5" x14ac:dyDescent="0.35">
      <c r="D1535"/>
      <c r="E1535"/>
    </row>
    <row r="1536" spans="4:5" ht="14.5" x14ac:dyDescent="0.35">
      <c r="D1536"/>
      <c r="E1536"/>
    </row>
    <row r="1537" spans="4:5" ht="14.5" x14ac:dyDescent="0.35">
      <c r="D1537"/>
      <c r="E1537"/>
    </row>
    <row r="1538" spans="4:5" ht="14.5" x14ac:dyDescent="0.35">
      <c r="D1538"/>
      <c r="E1538"/>
    </row>
    <row r="1539" spans="4:5" ht="14.5" x14ac:dyDescent="0.35">
      <c r="D1539"/>
      <c r="E1539"/>
    </row>
    <row r="1540" spans="4:5" ht="14.5" x14ac:dyDescent="0.35">
      <c r="D1540"/>
      <c r="E1540"/>
    </row>
    <row r="1541" spans="4:5" ht="14.5" x14ac:dyDescent="0.35">
      <c r="D1541"/>
      <c r="E1541"/>
    </row>
    <row r="1542" spans="4:5" ht="14.5" x14ac:dyDescent="0.35">
      <c r="D1542"/>
      <c r="E1542"/>
    </row>
    <row r="1543" spans="4:5" ht="14.5" x14ac:dyDescent="0.35">
      <c r="D1543"/>
      <c r="E1543"/>
    </row>
    <row r="1544" spans="4:5" ht="14.5" x14ac:dyDescent="0.35">
      <c r="D1544"/>
      <c r="E1544"/>
    </row>
    <row r="1545" spans="4:5" ht="14.5" x14ac:dyDescent="0.35">
      <c r="D1545"/>
      <c r="E1545"/>
    </row>
    <row r="1546" spans="4:5" ht="14.5" x14ac:dyDescent="0.35">
      <c r="D1546"/>
      <c r="E1546"/>
    </row>
    <row r="1547" spans="4:5" ht="14.5" x14ac:dyDescent="0.35">
      <c r="D1547"/>
      <c r="E1547"/>
    </row>
    <row r="1548" spans="4:5" ht="14.5" x14ac:dyDescent="0.35">
      <c r="D1548"/>
      <c r="E1548"/>
    </row>
    <row r="1549" spans="4:5" ht="14.5" x14ac:dyDescent="0.35">
      <c r="D1549"/>
      <c r="E1549"/>
    </row>
    <row r="1550" spans="4:5" ht="14.5" x14ac:dyDescent="0.35">
      <c r="D1550"/>
      <c r="E1550"/>
    </row>
    <row r="1551" spans="4:5" ht="14.5" x14ac:dyDescent="0.35">
      <c r="D1551"/>
      <c r="E1551"/>
    </row>
    <row r="1552" spans="4:5" ht="14.5" x14ac:dyDescent="0.35">
      <c r="D1552"/>
      <c r="E1552"/>
    </row>
    <row r="1553" spans="4:5" ht="14.5" x14ac:dyDescent="0.35">
      <c r="D1553"/>
      <c r="E1553"/>
    </row>
    <row r="1554" spans="4:5" ht="14.5" x14ac:dyDescent="0.35">
      <c r="D1554"/>
      <c r="E1554"/>
    </row>
    <row r="1555" spans="4:5" ht="14.5" x14ac:dyDescent="0.35">
      <c r="D1555"/>
      <c r="E1555"/>
    </row>
    <row r="1556" spans="4:5" ht="14.5" x14ac:dyDescent="0.35">
      <c r="D1556"/>
      <c r="E1556"/>
    </row>
    <row r="1557" spans="4:5" ht="14.5" x14ac:dyDescent="0.35">
      <c r="D1557"/>
      <c r="E1557"/>
    </row>
    <row r="1558" spans="4:5" ht="14.5" x14ac:dyDescent="0.35">
      <c r="D1558"/>
      <c r="E1558"/>
    </row>
    <row r="1559" spans="4:5" ht="14.5" x14ac:dyDescent="0.35">
      <c r="D1559"/>
      <c r="E1559"/>
    </row>
    <row r="1560" spans="4:5" ht="14.5" x14ac:dyDescent="0.35">
      <c r="D1560"/>
      <c r="E1560"/>
    </row>
    <row r="1561" spans="4:5" ht="14.5" x14ac:dyDescent="0.35">
      <c r="D1561"/>
      <c r="E1561"/>
    </row>
    <row r="1562" spans="4:5" ht="14.5" x14ac:dyDescent="0.35">
      <c r="D1562"/>
      <c r="E1562"/>
    </row>
    <row r="1563" spans="4:5" ht="14.5" x14ac:dyDescent="0.35">
      <c r="D1563"/>
      <c r="E1563"/>
    </row>
    <row r="1564" spans="4:5" ht="14.5" x14ac:dyDescent="0.35">
      <c r="D1564"/>
      <c r="E1564"/>
    </row>
    <row r="1565" spans="4:5" ht="14.5" x14ac:dyDescent="0.35">
      <c r="D1565"/>
      <c r="E1565"/>
    </row>
    <row r="1566" spans="4:5" ht="14.5" x14ac:dyDescent="0.35">
      <c r="D1566"/>
      <c r="E1566"/>
    </row>
    <row r="1567" spans="4:5" ht="14.5" x14ac:dyDescent="0.35">
      <c r="D1567"/>
      <c r="E1567"/>
    </row>
    <row r="1568" spans="4:5" ht="14.5" x14ac:dyDescent="0.35">
      <c r="D1568"/>
      <c r="E1568"/>
    </row>
    <row r="1569" spans="4:5" ht="14.5" x14ac:dyDescent="0.35">
      <c r="D1569"/>
      <c r="E1569"/>
    </row>
    <row r="1570" spans="4:5" ht="14.5" x14ac:dyDescent="0.35">
      <c r="D1570"/>
      <c r="E1570"/>
    </row>
    <row r="1571" spans="4:5" ht="14.5" x14ac:dyDescent="0.35">
      <c r="D1571"/>
      <c r="E1571"/>
    </row>
    <row r="1572" spans="4:5" ht="14.5" x14ac:dyDescent="0.35">
      <c r="D1572"/>
      <c r="E1572"/>
    </row>
    <row r="1573" spans="4:5" ht="14.5" x14ac:dyDescent="0.35">
      <c r="D1573"/>
      <c r="E1573"/>
    </row>
    <row r="1574" spans="4:5" ht="14.5" x14ac:dyDescent="0.35">
      <c r="D1574"/>
      <c r="E1574"/>
    </row>
    <row r="1575" spans="4:5" ht="14.5" x14ac:dyDescent="0.35">
      <c r="D1575"/>
      <c r="E1575"/>
    </row>
    <row r="1576" spans="4:5" ht="14.5" x14ac:dyDescent="0.35">
      <c r="D1576"/>
      <c r="E1576"/>
    </row>
    <row r="1577" spans="4:5" ht="14.5" x14ac:dyDescent="0.35">
      <c r="D1577"/>
      <c r="E1577"/>
    </row>
    <row r="1578" spans="4:5" ht="14.5" x14ac:dyDescent="0.35">
      <c r="D1578"/>
      <c r="E1578"/>
    </row>
    <row r="1579" spans="4:5" ht="14.5" x14ac:dyDescent="0.35">
      <c r="D1579"/>
      <c r="E1579"/>
    </row>
    <row r="1580" spans="4:5" ht="14.5" x14ac:dyDescent="0.35">
      <c r="D1580"/>
      <c r="E1580"/>
    </row>
    <row r="1581" spans="4:5" ht="14.5" x14ac:dyDescent="0.35">
      <c r="D1581"/>
      <c r="E1581"/>
    </row>
    <row r="1582" spans="4:5" ht="14.5" x14ac:dyDescent="0.35">
      <c r="D1582"/>
      <c r="E1582"/>
    </row>
    <row r="1583" spans="4:5" ht="14.5" x14ac:dyDescent="0.35">
      <c r="D1583"/>
      <c r="E1583"/>
    </row>
    <row r="1584" spans="4:5" ht="14.5" x14ac:dyDescent="0.35">
      <c r="D1584"/>
      <c r="E1584"/>
    </row>
    <row r="1585" spans="4:5" ht="14.5" x14ac:dyDescent="0.35">
      <c r="D1585"/>
      <c r="E1585"/>
    </row>
    <row r="1586" spans="4:5" ht="14.5" x14ac:dyDescent="0.35">
      <c r="D1586"/>
      <c r="E1586"/>
    </row>
    <row r="1587" spans="4:5" ht="14.5" x14ac:dyDescent="0.35">
      <c r="D1587"/>
      <c r="E1587"/>
    </row>
    <row r="1588" spans="4:5" ht="14.5" x14ac:dyDescent="0.35">
      <c r="D1588"/>
      <c r="E1588"/>
    </row>
    <row r="1589" spans="4:5" ht="14.5" x14ac:dyDescent="0.35">
      <c r="D1589"/>
      <c r="E1589"/>
    </row>
    <row r="1590" spans="4:5" ht="14.5" x14ac:dyDescent="0.35">
      <c r="D1590"/>
      <c r="E1590"/>
    </row>
    <row r="1591" spans="4:5" ht="14.5" x14ac:dyDescent="0.35">
      <c r="D1591"/>
      <c r="E1591"/>
    </row>
    <row r="1592" spans="4:5" ht="14.5" x14ac:dyDescent="0.35">
      <c r="D1592"/>
      <c r="E1592"/>
    </row>
    <row r="1593" spans="4:5" ht="14.5" x14ac:dyDescent="0.35">
      <c r="D1593"/>
      <c r="E1593"/>
    </row>
    <row r="1594" spans="4:5" ht="14.5" x14ac:dyDescent="0.35">
      <c r="D1594"/>
      <c r="E1594"/>
    </row>
    <row r="1595" spans="4:5" ht="14.5" x14ac:dyDescent="0.35">
      <c r="D1595"/>
      <c r="E1595"/>
    </row>
    <row r="1596" spans="4:5" ht="14.5" x14ac:dyDescent="0.35">
      <c r="D1596"/>
      <c r="E1596"/>
    </row>
    <row r="1597" spans="4:5" ht="14.5" x14ac:dyDescent="0.35">
      <c r="D1597"/>
      <c r="E1597"/>
    </row>
    <row r="1598" spans="4:5" ht="14.5" x14ac:dyDescent="0.35">
      <c r="D1598"/>
      <c r="E1598"/>
    </row>
    <row r="1599" spans="4:5" ht="14.5" x14ac:dyDescent="0.35">
      <c r="D1599"/>
      <c r="E1599"/>
    </row>
    <row r="1600" spans="4:5" ht="14.5" x14ac:dyDescent="0.35">
      <c r="D1600"/>
      <c r="E1600"/>
    </row>
    <row r="1601" spans="4:5" ht="14.5" x14ac:dyDescent="0.35">
      <c r="D1601"/>
      <c r="E1601"/>
    </row>
    <row r="1602" spans="4:5" ht="14.5" x14ac:dyDescent="0.35">
      <c r="D1602"/>
      <c r="E1602"/>
    </row>
    <row r="1603" spans="4:5" ht="14.5" x14ac:dyDescent="0.35">
      <c r="D1603"/>
      <c r="E1603"/>
    </row>
    <row r="1604" spans="4:5" ht="14.5" x14ac:dyDescent="0.35">
      <c r="D1604"/>
      <c r="E1604"/>
    </row>
    <row r="1605" spans="4:5" ht="14.5" x14ac:dyDescent="0.35">
      <c r="D1605"/>
      <c r="E1605"/>
    </row>
    <row r="1606" spans="4:5" ht="14.5" x14ac:dyDescent="0.35">
      <c r="D1606"/>
      <c r="E1606"/>
    </row>
    <row r="1607" spans="4:5" ht="14.5" x14ac:dyDescent="0.35">
      <c r="D1607"/>
      <c r="E1607"/>
    </row>
    <row r="1608" spans="4:5" ht="14.5" x14ac:dyDescent="0.35">
      <c r="D1608"/>
      <c r="E1608"/>
    </row>
    <row r="1609" spans="4:5" ht="14.5" x14ac:dyDescent="0.35">
      <c r="D1609"/>
      <c r="E1609"/>
    </row>
    <row r="1610" spans="4:5" ht="14.5" x14ac:dyDescent="0.35">
      <c r="D1610"/>
      <c r="E1610"/>
    </row>
    <row r="1611" spans="4:5" ht="14.5" x14ac:dyDescent="0.35">
      <c r="D1611"/>
      <c r="E1611"/>
    </row>
    <row r="1612" spans="4:5" ht="14.5" x14ac:dyDescent="0.35">
      <c r="D1612"/>
      <c r="E1612"/>
    </row>
    <row r="1613" spans="4:5" ht="14.5" x14ac:dyDescent="0.35">
      <c r="D1613"/>
      <c r="E1613"/>
    </row>
    <row r="1614" spans="4:5" ht="14.5" x14ac:dyDescent="0.35">
      <c r="D1614"/>
      <c r="E1614"/>
    </row>
    <row r="1615" spans="4:5" ht="14.5" x14ac:dyDescent="0.35">
      <c r="D1615"/>
      <c r="E1615"/>
    </row>
    <row r="1616" spans="4:5" ht="14.5" x14ac:dyDescent="0.35">
      <c r="D1616"/>
      <c r="E1616"/>
    </row>
    <row r="1617" spans="4:5" ht="14.5" x14ac:dyDescent="0.35">
      <c r="D1617"/>
      <c r="E1617"/>
    </row>
    <row r="1618" spans="4:5" ht="14.5" x14ac:dyDescent="0.35">
      <c r="D1618"/>
      <c r="E1618"/>
    </row>
    <row r="1619" spans="4:5" ht="14.5" x14ac:dyDescent="0.35">
      <c r="D1619"/>
      <c r="E1619"/>
    </row>
    <row r="1620" spans="4:5" ht="14.5" x14ac:dyDescent="0.35">
      <c r="D1620"/>
      <c r="E1620"/>
    </row>
    <row r="1621" spans="4:5" ht="14.5" x14ac:dyDescent="0.35">
      <c r="D1621"/>
      <c r="E1621"/>
    </row>
    <row r="1622" spans="4:5" ht="14.5" x14ac:dyDescent="0.35">
      <c r="D1622"/>
      <c r="E1622"/>
    </row>
    <row r="1623" spans="4:5" ht="14.5" x14ac:dyDescent="0.35">
      <c r="D1623"/>
      <c r="E1623"/>
    </row>
    <row r="1624" spans="4:5" ht="14.5" x14ac:dyDescent="0.35">
      <c r="D1624"/>
      <c r="E1624"/>
    </row>
    <row r="1625" spans="4:5" ht="14.5" x14ac:dyDescent="0.35">
      <c r="D1625"/>
      <c r="E1625"/>
    </row>
    <row r="1626" spans="4:5" ht="14.5" x14ac:dyDescent="0.35">
      <c r="D1626"/>
      <c r="E1626"/>
    </row>
    <row r="1627" spans="4:5" ht="14.5" x14ac:dyDescent="0.35">
      <c r="D1627"/>
      <c r="E1627"/>
    </row>
    <row r="1628" spans="4:5" ht="14.5" x14ac:dyDescent="0.35">
      <c r="D1628"/>
      <c r="E1628"/>
    </row>
    <row r="1629" spans="4:5" ht="14.5" x14ac:dyDescent="0.35">
      <c r="D1629"/>
      <c r="E1629"/>
    </row>
    <row r="1630" spans="4:5" ht="14.5" x14ac:dyDescent="0.35">
      <c r="D1630"/>
      <c r="E1630"/>
    </row>
    <row r="1631" spans="4:5" ht="14.5" x14ac:dyDescent="0.35">
      <c r="D1631"/>
      <c r="E1631"/>
    </row>
    <row r="1632" spans="4:5" ht="14.5" x14ac:dyDescent="0.35">
      <c r="D1632"/>
      <c r="E1632"/>
    </row>
    <row r="1633" spans="4:5" ht="14.5" x14ac:dyDescent="0.35">
      <c r="D1633"/>
      <c r="E1633"/>
    </row>
    <row r="1634" spans="4:5" ht="14.5" x14ac:dyDescent="0.35">
      <c r="D1634"/>
      <c r="E1634"/>
    </row>
    <row r="1635" spans="4:5" ht="14.5" x14ac:dyDescent="0.35">
      <c r="D1635"/>
      <c r="E1635"/>
    </row>
    <row r="1636" spans="4:5" ht="14.5" x14ac:dyDescent="0.35">
      <c r="D1636"/>
      <c r="E1636"/>
    </row>
    <row r="1637" spans="4:5" ht="14.5" x14ac:dyDescent="0.35">
      <c r="D1637"/>
      <c r="E1637"/>
    </row>
    <row r="1638" spans="4:5" ht="14.5" x14ac:dyDescent="0.35">
      <c r="D1638"/>
      <c r="E1638"/>
    </row>
    <row r="1639" spans="4:5" ht="14.5" x14ac:dyDescent="0.35">
      <c r="D1639"/>
      <c r="E1639"/>
    </row>
    <row r="1640" spans="4:5" ht="14.5" x14ac:dyDescent="0.35">
      <c r="D1640"/>
      <c r="E1640"/>
    </row>
    <row r="1641" spans="4:5" ht="14.5" x14ac:dyDescent="0.35">
      <c r="D1641"/>
      <c r="E1641"/>
    </row>
    <row r="1642" spans="4:5" ht="14.5" x14ac:dyDescent="0.35">
      <c r="D1642"/>
      <c r="E1642"/>
    </row>
    <row r="1643" spans="4:5" ht="14.5" x14ac:dyDescent="0.35">
      <c r="D1643"/>
      <c r="E1643"/>
    </row>
    <row r="1644" spans="4:5" ht="14.5" x14ac:dyDescent="0.35">
      <c r="D1644"/>
      <c r="E1644"/>
    </row>
    <row r="1645" spans="4:5" ht="14.5" x14ac:dyDescent="0.35">
      <c r="D1645"/>
      <c r="E1645"/>
    </row>
    <row r="1646" spans="4:5" ht="14.5" x14ac:dyDescent="0.35">
      <c r="D1646"/>
      <c r="E1646"/>
    </row>
    <row r="1647" spans="4:5" ht="14.5" x14ac:dyDescent="0.35">
      <c r="D1647"/>
      <c r="E1647"/>
    </row>
    <row r="1648" spans="4:5" ht="14.5" x14ac:dyDescent="0.35">
      <c r="D1648"/>
      <c r="E1648"/>
    </row>
    <row r="1649" spans="4:5" ht="14.5" x14ac:dyDescent="0.35">
      <c r="D1649"/>
      <c r="E1649"/>
    </row>
    <row r="1650" spans="4:5" ht="14.5" x14ac:dyDescent="0.35">
      <c r="D1650"/>
      <c r="E1650"/>
    </row>
    <row r="1651" spans="4:5" ht="14.5" x14ac:dyDescent="0.35">
      <c r="D1651"/>
      <c r="E1651"/>
    </row>
    <row r="1652" spans="4:5" ht="14.5" x14ac:dyDescent="0.35">
      <c r="D1652"/>
      <c r="E1652"/>
    </row>
    <row r="1653" spans="4:5" ht="14.5" x14ac:dyDescent="0.35">
      <c r="D1653"/>
      <c r="E1653"/>
    </row>
    <row r="1654" spans="4:5" ht="14.5" x14ac:dyDescent="0.35">
      <c r="D1654"/>
      <c r="E1654"/>
    </row>
    <row r="1655" spans="4:5" ht="14.5" x14ac:dyDescent="0.35">
      <c r="D1655"/>
      <c r="E1655"/>
    </row>
    <row r="1656" spans="4:5" ht="14.5" x14ac:dyDescent="0.35">
      <c r="D1656"/>
      <c r="E1656"/>
    </row>
    <row r="1657" spans="4:5" ht="14.5" x14ac:dyDescent="0.35">
      <c r="D1657"/>
      <c r="E1657"/>
    </row>
    <row r="1658" spans="4:5" ht="14.5" x14ac:dyDescent="0.35">
      <c r="D1658"/>
      <c r="E1658"/>
    </row>
    <row r="1659" spans="4:5" ht="14.5" x14ac:dyDescent="0.35">
      <c r="D1659"/>
      <c r="E1659"/>
    </row>
    <row r="1660" spans="4:5" ht="14.5" x14ac:dyDescent="0.35">
      <c r="D1660"/>
      <c r="E1660"/>
    </row>
    <row r="1661" spans="4:5" ht="14.5" x14ac:dyDescent="0.35">
      <c r="D1661"/>
      <c r="E1661"/>
    </row>
    <row r="1662" spans="4:5" ht="14.5" x14ac:dyDescent="0.35">
      <c r="D1662"/>
      <c r="E1662"/>
    </row>
    <row r="1663" spans="4:5" ht="14.5" x14ac:dyDescent="0.35">
      <c r="D1663"/>
      <c r="E1663"/>
    </row>
    <row r="1664" spans="4:5" ht="14.5" x14ac:dyDescent="0.35">
      <c r="D1664"/>
      <c r="E1664"/>
    </row>
    <row r="1665" spans="4:5" ht="14.5" x14ac:dyDescent="0.35">
      <c r="D1665"/>
      <c r="E1665"/>
    </row>
    <row r="1666" spans="4:5" ht="14.5" x14ac:dyDescent="0.35">
      <c r="D1666"/>
      <c r="E1666"/>
    </row>
    <row r="1667" spans="4:5" ht="14.5" x14ac:dyDescent="0.35">
      <c r="D1667"/>
      <c r="E1667"/>
    </row>
    <row r="1668" spans="4:5" ht="14.5" x14ac:dyDescent="0.35">
      <c r="D1668"/>
      <c r="E1668"/>
    </row>
    <row r="1669" spans="4:5" ht="14.5" x14ac:dyDescent="0.35">
      <c r="D1669"/>
      <c r="E1669"/>
    </row>
    <row r="1670" spans="4:5" ht="14.5" x14ac:dyDescent="0.35">
      <c r="D1670"/>
      <c r="E1670"/>
    </row>
    <row r="1671" spans="4:5" ht="14.5" x14ac:dyDescent="0.35">
      <c r="D1671"/>
      <c r="E1671"/>
    </row>
    <row r="1672" spans="4:5" ht="14.5" x14ac:dyDescent="0.35">
      <c r="D1672"/>
      <c r="E1672"/>
    </row>
    <row r="1673" spans="4:5" ht="14.5" x14ac:dyDescent="0.35">
      <c r="D1673"/>
      <c r="E1673"/>
    </row>
    <row r="1674" spans="4:5" ht="14.5" x14ac:dyDescent="0.35">
      <c r="D1674"/>
      <c r="E1674"/>
    </row>
    <row r="1675" spans="4:5" ht="14.5" x14ac:dyDescent="0.35">
      <c r="D1675"/>
      <c r="E1675"/>
    </row>
    <row r="1676" spans="4:5" ht="14.5" x14ac:dyDescent="0.35">
      <c r="D1676"/>
      <c r="E1676"/>
    </row>
    <row r="1677" spans="4:5" ht="14.5" x14ac:dyDescent="0.35">
      <c r="D1677"/>
      <c r="E1677"/>
    </row>
    <row r="1678" spans="4:5" ht="14.5" x14ac:dyDescent="0.35">
      <c r="D1678"/>
      <c r="E1678"/>
    </row>
    <row r="1679" spans="4:5" ht="14.5" x14ac:dyDescent="0.35">
      <c r="D1679"/>
      <c r="E1679"/>
    </row>
    <row r="1680" spans="4:5" ht="14.5" x14ac:dyDescent="0.35">
      <c r="D1680"/>
      <c r="E1680"/>
    </row>
    <row r="1681" spans="4:5" ht="14.5" x14ac:dyDescent="0.35">
      <c r="D1681"/>
      <c r="E1681"/>
    </row>
    <row r="1682" spans="4:5" ht="14.5" x14ac:dyDescent="0.35">
      <c r="D1682"/>
      <c r="E1682"/>
    </row>
    <row r="1683" spans="4:5" ht="14.5" x14ac:dyDescent="0.35">
      <c r="D1683"/>
      <c r="E1683"/>
    </row>
    <row r="1684" spans="4:5" ht="14.5" x14ac:dyDescent="0.35">
      <c r="D1684"/>
      <c r="E1684"/>
    </row>
    <row r="1685" spans="4:5" ht="14.5" x14ac:dyDescent="0.35">
      <c r="D1685"/>
      <c r="E1685"/>
    </row>
    <row r="1686" spans="4:5" ht="14.5" x14ac:dyDescent="0.35">
      <c r="D1686"/>
      <c r="E1686"/>
    </row>
    <row r="1687" spans="4:5" ht="14.5" x14ac:dyDescent="0.35">
      <c r="D1687"/>
      <c r="E1687"/>
    </row>
    <row r="1688" spans="4:5" ht="14.5" x14ac:dyDescent="0.35">
      <c r="D1688"/>
      <c r="E1688"/>
    </row>
    <row r="1689" spans="4:5" ht="14.5" x14ac:dyDescent="0.35">
      <c r="D1689"/>
      <c r="E1689"/>
    </row>
    <row r="1690" spans="4:5" ht="14.5" x14ac:dyDescent="0.35">
      <c r="D1690"/>
      <c r="E1690"/>
    </row>
    <row r="1691" spans="4:5" ht="14.5" x14ac:dyDescent="0.35">
      <c r="D1691"/>
      <c r="E1691"/>
    </row>
    <row r="1692" spans="4:5" ht="14.5" x14ac:dyDescent="0.35">
      <c r="D1692"/>
      <c r="E1692"/>
    </row>
    <row r="1693" spans="4:5" ht="14.5" x14ac:dyDescent="0.35">
      <c r="D1693"/>
      <c r="E1693"/>
    </row>
    <row r="1694" spans="4:5" ht="14.5" x14ac:dyDescent="0.35">
      <c r="D1694"/>
      <c r="E1694"/>
    </row>
    <row r="1695" spans="4:5" ht="14.5" x14ac:dyDescent="0.35">
      <c r="D1695"/>
      <c r="E1695"/>
    </row>
    <row r="1696" spans="4:5" ht="14.5" x14ac:dyDescent="0.35">
      <c r="D1696"/>
      <c r="E1696"/>
    </row>
    <row r="1697" spans="4:5" ht="14.5" x14ac:dyDescent="0.35">
      <c r="D1697"/>
      <c r="E1697"/>
    </row>
    <row r="1698" spans="4:5" ht="14.5" x14ac:dyDescent="0.35">
      <c r="D1698"/>
      <c r="E1698"/>
    </row>
    <row r="1699" spans="4:5" ht="14.5" x14ac:dyDescent="0.35">
      <c r="D1699"/>
      <c r="E1699"/>
    </row>
    <row r="1700" spans="4:5" ht="14.5" x14ac:dyDescent="0.35">
      <c r="D1700"/>
      <c r="E1700"/>
    </row>
    <row r="1701" spans="4:5" ht="14.5" x14ac:dyDescent="0.35">
      <c r="D1701"/>
      <c r="E1701"/>
    </row>
    <row r="1702" spans="4:5" ht="14.5" x14ac:dyDescent="0.35">
      <c r="D1702"/>
      <c r="E1702"/>
    </row>
    <row r="1703" spans="4:5" ht="14.5" x14ac:dyDescent="0.35">
      <c r="D1703"/>
      <c r="E1703"/>
    </row>
    <row r="1704" spans="4:5" ht="14.5" x14ac:dyDescent="0.35">
      <c r="D1704"/>
      <c r="E1704"/>
    </row>
    <row r="1705" spans="4:5" ht="14.5" x14ac:dyDescent="0.35">
      <c r="D1705"/>
      <c r="E1705"/>
    </row>
    <row r="1706" spans="4:5" ht="14.5" x14ac:dyDescent="0.35">
      <c r="D1706"/>
      <c r="E1706"/>
    </row>
    <row r="1707" spans="4:5" ht="14.5" x14ac:dyDescent="0.35">
      <c r="D1707"/>
      <c r="E1707"/>
    </row>
    <row r="1708" spans="4:5" ht="14.5" x14ac:dyDescent="0.35">
      <c r="D1708"/>
      <c r="E1708"/>
    </row>
    <row r="1709" spans="4:5" ht="14.5" x14ac:dyDescent="0.35">
      <c r="D1709"/>
      <c r="E1709"/>
    </row>
    <row r="1710" spans="4:5" ht="14.5" x14ac:dyDescent="0.35">
      <c r="D1710"/>
      <c r="E1710"/>
    </row>
    <row r="1711" spans="4:5" ht="14.5" x14ac:dyDescent="0.35">
      <c r="D1711"/>
      <c r="E1711"/>
    </row>
    <row r="1712" spans="4:5" ht="14.5" x14ac:dyDescent="0.35">
      <c r="D1712"/>
      <c r="E1712"/>
    </row>
    <row r="1713" spans="4:5" ht="14.5" x14ac:dyDescent="0.35">
      <c r="D1713"/>
      <c r="E1713"/>
    </row>
    <row r="1714" spans="4:5" ht="14.5" x14ac:dyDescent="0.35">
      <c r="D1714"/>
      <c r="E1714"/>
    </row>
    <row r="1715" spans="4:5" ht="14.5" x14ac:dyDescent="0.35">
      <c r="D1715"/>
      <c r="E1715"/>
    </row>
    <row r="1716" spans="4:5" ht="14.5" x14ac:dyDescent="0.35">
      <c r="D1716"/>
      <c r="E1716"/>
    </row>
    <row r="1717" spans="4:5" ht="14.5" x14ac:dyDescent="0.35">
      <c r="D1717"/>
      <c r="E1717"/>
    </row>
    <row r="1718" spans="4:5" ht="14.5" x14ac:dyDescent="0.35">
      <c r="D1718"/>
      <c r="E1718"/>
    </row>
    <row r="1719" spans="4:5" ht="14.5" x14ac:dyDescent="0.35">
      <c r="D1719"/>
      <c r="E1719"/>
    </row>
    <row r="1720" spans="4:5" ht="14.5" x14ac:dyDescent="0.35">
      <c r="D1720"/>
      <c r="E1720"/>
    </row>
    <row r="1721" spans="4:5" ht="14.5" x14ac:dyDescent="0.35">
      <c r="D1721"/>
      <c r="E1721"/>
    </row>
    <row r="1722" spans="4:5" ht="14.5" x14ac:dyDescent="0.35">
      <c r="D1722"/>
      <c r="E1722"/>
    </row>
    <row r="1723" spans="4:5" ht="14.5" x14ac:dyDescent="0.35">
      <c r="D1723"/>
      <c r="E1723"/>
    </row>
    <row r="1724" spans="4:5" ht="14.5" x14ac:dyDescent="0.35">
      <c r="D1724"/>
      <c r="E1724"/>
    </row>
    <row r="1725" spans="4:5" ht="14.5" x14ac:dyDescent="0.35">
      <c r="D1725"/>
      <c r="E1725"/>
    </row>
    <row r="1726" spans="4:5" ht="14.5" x14ac:dyDescent="0.35">
      <c r="D1726"/>
      <c r="E1726"/>
    </row>
    <row r="1727" spans="4:5" ht="14.5" x14ac:dyDescent="0.35">
      <c r="D1727"/>
      <c r="E1727"/>
    </row>
    <row r="1728" spans="4:5" ht="14.5" x14ac:dyDescent="0.35">
      <c r="D1728"/>
      <c r="E1728"/>
    </row>
    <row r="1729" spans="4:5" ht="14.5" x14ac:dyDescent="0.35">
      <c r="D1729"/>
      <c r="E1729"/>
    </row>
    <row r="1730" spans="4:5" ht="14.5" x14ac:dyDescent="0.35">
      <c r="D1730"/>
      <c r="E1730"/>
    </row>
    <row r="1731" spans="4:5" ht="14.5" x14ac:dyDescent="0.35">
      <c r="D1731"/>
      <c r="E1731"/>
    </row>
    <row r="1732" spans="4:5" ht="14.5" x14ac:dyDescent="0.35">
      <c r="D1732"/>
      <c r="E1732"/>
    </row>
    <row r="1733" spans="4:5" ht="14.5" x14ac:dyDescent="0.35">
      <c r="D1733"/>
      <c r="E1733"/>
    </row>
    <row r="1734" spans="4:5" ht="14.5" x14ac:dyDescent="0.35">
      <c r="D1734"/>
      <c r="E1734"/>
    </row>
    <row r="1735" spans="4:5" ht="14.5" x14ac:dyDescent="0.35">
      <c r="D1735"/>
      <c r="E1735"/>
    </row>
    <row r="1736" spans="4:5" ht="14.5" x14ac:dyDescent="0.35">
      <c r="D1736"/>
      <c r="E1736"/>
    </row>
    <row r="1737" spans="4:5" ht="14.5" x14ac:dyDescent="0.35">
      <c r="D1737"/>
      <c r="E1737"/>
    </row>
    <row r="1738" spans="4:5" ht="14.5" x14ac:dyDescent="0.35">
      <c r="D1738"/>
      <c r="E1738"/>
    </row>
    <row r="1739" spans="4:5" ht="14.5" x14ac:dyDescent="0.35">
      <c r="D1739"/>
      <c r="E1739"/>
    </row>
    <row r="1740" spans="4:5" ht="14.5" x14ac:dyDescent="0.35">
      <c r="D1740"/>
      <c r="E1740"/>
    </row>
    <row r="1741" spans="4:5" ht="14.5" x14ac:dyDescent="0.35">
      <c r="D1741"/>
      <c r="E1741"/>
    </row>
    <row r="1742" spans="4:5" ht="14.5" x14ac:dyDescent="0.35">
      <c r="D1742"/>
      <c r="E1742"/>
    </row>
    <row r="1743" spans="4:5" ht="14.5" x14ac:dyDescent="0.35">
      <c r="D1743"/>
      <c r="E1743"/>
    </row>
    <row r="1744" spans="4:5" ht="14.5" x14ac:dyDescent="0.35">
      <c r="D1744"/>
      <c r="E1744"/>
    </row>
    <row r="1745" spans="4:5" ht="14.5" x14ac:dyDescent="0.35">
      <c r="D1745"/>
      <c r="E1745"/>
    </row>
    <row r="1746" spans="4:5" ht="14.5" x14ac:dyDescent="0.35">
      <c r="D1746"/>
      <c r="E1746"/>
    </row>
    <row r="1747" spans="4:5" ht="14.5" x14ac:dyDescent="0.35">
      <c r="D1747"/>
      <c r="E1747"/>
    </row>
    <row r="1748" spans="4:5" ht="14.5" x14ac:dyDescent="0.35">
      <c r="D1748"/>
      <c r="E1748"/>
    </row>
    <row r="1749" spans="4:5" ht="14.5" x14ac:dyDescent="0.35">
      <c r="D1749"/>
      <c r="E1749"/>
    </row>
    <row r="1750" spans="4:5" ht="14.5" x14ac:dyDescent="0.35">
      <c r="D1750"/>
      <c r="E1750"/>
    </row>
    <row r="1751" spans="4:5" ht="14.5" x14ac:dyDescent="0.35">
      <c r="D1751"/>
      <c r="E1751"/>
    </row>
    <row r="1752" spans="4:5" ht="14.5" x14ac:dyDescent="0.35">
      <c r="D1752"/>
      <c r="E1752"/>
    </row>
    <row r="1753" spans="4:5" ht="14.5" x14ac:dyDescent="0.35">
      <c r="D1753"/>
      <c r="E1753"/>
    </row>
    <row r="1754" spans="4:5" ht="14.5" x14ac:dyDescent="0.35">
      <c r="D1754"/>
      <c r="E1754"/>
    </row>
    <row r="1755" spans="4:5" ht="14.5" x14ac:dyDescent="0.35">
      <c r="D1755"/>
      <c r="E1755"/>
    </row>
    <row r="1756" spans="4:5" ht="14.5" x14ac:dyDescent="0.35">
      <c r="D1756"/>
      <c r="E1756"/>
    </row>
    <row r="1757" spans="4:5" ht="14.5" x14ac:dyDescent="0.35">
      <c r="D1757"/>
      <c r="E1757"/>
    </row>
    <row r="1758" spans="4:5" ht="14.5" x14ac:dyDescent="0.35">
      <c r="D1758"/>
      <c r="E1758"/>
    </row>
    <row r="1759" spans="4:5" ht="14.5" x14ac:dyDescent="0.35">
      <c r="D1759"/>
      <c r="E1759"/>
    </row>
    <row r="1760" spans="4:5" ht="14.5" x14ac:dyDescent="0.35">
      <c r="D1760"/>
      <c r="E1760"/>
    </row>
    <row r="1761" spans="4:5" ht="14.5" x14ac:dyDescent="0.35">
      <c r="D1761"/>
      <c r="E1761"/>
    </row>
    <row r="1762" spans="4:5" ht="14.5" x14ac:dyDescent="0.35">
      <c r="D1762"/>
      <c r="E1762"/>
    </row>
    <row r="1763" spans="4:5" ht="14.5" x14ac:dyDescent="0.35">
      <c r="D1763"/>
      <c r="E1763"/>
    </row>
    <row r="1764" spans="4:5" ht="14.5" x14ac:dyDescent="0.35">
      <c r="D1764"/>
      <c r="E1764"/>
    </row>
    <row r="1765" spans="4:5" ht="14.5" x14ac:dyDescent="0.35">
      <c r="D1765"/>
      <c r="E1765"/>
    </row>
    <row r="1766" spans="4:5" ht="14.5" x14ac:dyDescent="0.35">
      <c r="D1766"/>
      <c r="E1766"/>
    </row>
    <row r="1767" spans="4:5" ht="14.5" x14ac:dyDescent="0.35">
      <c r="D1767"/>
      <c r="E1767"/>
    </row>
    <row r="1768" spans="4:5" ht="14.5" x14ac:dyDescent="0.35">
      <c r="D1768"/>
      <c r="E1768"/>
    </row>
    <row r="1769" spans="4:5" ht="14.5" x14ac:dyDescent="0.35">
      <c r="D1769"/>
      <c r="E1769"/>
    </row>
    <row r="1770" spans="4:5" ht="14.5" x14ac:dyDescent="0.35">
      <c r="D1770"/>
      <c r="E1770"/>
    </row>
    <row r="1771" spans="4:5" ht="14.5" x14ac:dyDescent="0.35">
      <c r="D1771"/>
      <c r="E1771"/>
    </row>
    <row r="1772" spans="4:5" ht="14.5" x14ac:dyDescent="0.35">
      <c r="D1772"/>
      <c r="E1772"/>
    </row>
    <row r="1773" spans="4:5" ht="14.5" x14ac:dyDescent="0.35">
      <c r="D1773"/>
      <c r="E1773"/>
    </row>
    <row r="1774" spans="4:5" ht="14.5" x14ac:dyDescent="0.35">
      <c r="D1774"/>
      <c r="E1774"/>
    </row>
    <row r="1775" spans="4:5" ht="14.5" x14ac:dyDescent="0.35">
      <c r="D1775"/>
      <c r="E1775"/>
    </row>
    <row r="1776" spans="4:5" ht="14.5" x14ac:dyDescent="0.35">
      <c r="D1776"/>
      <c r="E1776"/>
    </row>
    <row r="1777" spans="4:5" ht="14.5" x14ac:dyDescent="0.35">
      <c r="D1777"/>
      <c r="E1777"/>
    </row>
    <row r="1778" spans="4:5" ht="14.5" x14ac:dyDescent="0.35">
      <c r="D1778"/>
      <c r="E1778"/>
    </row>
    <row r="1779" spans="4:5" ht="14.5" x14ac:dyDescent="0.35">
      <c r="D1779"/>
      <c r="E1779"/>
    </row>
    <row r="1780" spans="4:5" ht="14.5" x14ac:dyDescent="0.35">
      <c r="D1780"/>
      <c r="E1780"/>
    </row>
    <row r="1781" spans="4:5" ht="14.5" x14ac:dyDescent="0.35">
      <c r="D1781"/>
      <c r="E1781"/>
    </row>
    <row r="1782" spans="4:5" ht="14.5" x14ac:dyDescent="0.35">
      <c r="D1782"/>
      <c r="E1782"/>
    </row>
    <row r="1783" spans="4:5" ht="14.5" x14ac:dyDescent="0.35">
      <c r="D1783"/>
      <c r="E1783"/>
    </row>
    <row r="1784" spans="4:5" ht="14.5" x14ac:dyDescent="0.35">
      <c r="D1784"/>
      <c r="E1784"/>
    </row>
    <row r="1785" spans="4:5" ht="14.5" x14ac:dyDescent="0.35">
      <c r="D1785"/>
      <c r="E1785"/>
    </row>
    <row r="1786" spans="4:5" ht="14.5" x14ac:dyDescent="0.35">
      <c r="D1786"/>
      <c r="E1786"/>
    </row>
    <row r="1787" spans="4:5" ht="14.5" x14ac:dyDescent="0.35">
      <c r="D1787"/>
      <c r="E1787"/>
    </row>
    <row r="1788" spans="4:5" ht="14.5" x14ac:dyDescent="0.35">
      <c r="D1788"/>
      <c r="E1788"/>
    </row>
    <row r="1789" spans="4:5" ht="14.5" x14ac:dyDescent="0.35">
      <c r="D1789"/>
      <c r="E1789"/>
    </row>
    <row r="1790" spans="4:5" ht="14.5" x14ac:dyDescent="0.35">
      <c r="D1790"/>
      <c r="E1790"/>
    </row>
    <row r="1791" spans="4:5" ht="14.5" x14ac:dyDescent="0.35">
      <c r="D1791"/>
      <c r="E1791"/>
    </row>
    <row r="1792" spans="4:5" ht="14.5" x14ac:dyDescent="0.35">
      <c r="D1792"/>
      <c r="E1792"/>
    </row>
    <row r="1793" spans="4:5" ht="14.5" x14ac:dyDescent="0.35">
      <c r="D1793"/>
      <c r="E1793"/>
    </row>
    <row r="1794" spans="4:5" ht="14.5" x14ac:dyDescent="0.35">
      <c r="D1794"/>
      <c r="E1794"/>
    </row>
    <row r="1795" spans="4:5" ht="14.5" x14ac:dyDescent="0.35">
      <c r="D1795"/>
      <c r="E1795"/>
    </row>
    <row r="1796" spans="4:5" ht="14.5" x14ac:dyDescent="0.35">
      <c r="D1796"/>
      <c r="E1796"/>
    </row>
    <row r="1797" spans="4:5" ht="14.5" x14ac:dyDescent="0.35">
      <c r="D1797"/>
      <c r="E1797"/>
    </row>
    <row r="1798" spans="4:5" ht="14.5" x14ac:dyDescent="0.35">
      <c r="D1798"/>
      <c r="E1798"/>
    </row>
    <row r="1799" spans="4:5" ht="14.5" x14ac:dyDescent="0.35">
      <c r="D1799"/>
      <c r="E1799"/>
    </row>
    <row r="1800" spans="4:5" ht="14.5" x14ac:dyDescent="0.35">
      <c r="D1800"/>
      <c r="E1800"/>
    </row>
    <row r="1801" spans="4:5" ht="14.5" x14ac:dyDescent="0.35">
      <c r="D1801"/>
      <c r="E1801"/>
    </row>
    <row r="1802" spans="4:5" ht="14.5" x14ac:dyDescent="0.35">
      <c r="D1802"/>
      <c r="E1802"/>
    </row>
    <row r="1803" spans="4:5" ht="14.5" x14ac:dyDescent="0.35">
      <c r="D1803"/>
      <c r="E1803"/>
    </row>
    <row r="1804" spans="4:5" ht="14.5" x14ac:dyDescent="0.35">
      <c r="D1804"/>
      <c r="E1804"/>
    </row>
    <row r="1805" spans="4:5" ht="14.5" x14ac:dyDescent="0.35">
      <c r="D1805"/>
      <c r="E1805"/>
    </row>
    <row r="1806" spans="4:5" ht="14.5" x14ac:dyDescent="0.35">
      <c r="D1806"/>
      <c r="E1806"/>
    </row>
    <row r="1807" spans="4:5" ht="14.5" x14ac:dyDescent="0.35">
      <c r="D1807"/>
      <c r="E1807"/>
    </row>
    <row r="1808" spans="4:5" ht="14.5" x14ac:dyDescent="0.35">
      <c r="D1808"/>
      <c r="E1808"/>
    </row>
    <row r="1809" spans="4:5" ht="14.5" x14ac:dyDescent="0.35">
      <c r="D1809"/>
      <c r="E1809"/>
    </row>
    <row r="1810" spans="4:5" ht="14.5" x14ac:dyDescent="0.35">
      <c r="D1810"/>
      <c r="E1810"/>
    </row>
    <row r="1811" spans="4:5" ht="14.5" x14ac:dyDescent="0.35">
      <c r="D1811"/>
      <c r="E1811"/>
    </row>
    <row r="1812" spans="4:5" ht="14.5" x14ac:dyDescent="0.35">
      <c r="D1812"/>
      <c r="E1812"/>
    </row>
    <row r="1813" spans="4:5" ht="14.5" x14ac:dyDescent="0.35">
      <c r="D1813"/>
      <c r="E1813"/>
    </row>
    <row r="1814" spans="4:5" ht="14.5" x14ac:dyDescent="0.35">
      <c r="D1814"/>
      <c r="E1814"/>
    </row>
    <row r="1815" spans="4:5" ht="14.5" x14ac:dyDescent="0.35">
      <c r="D1815"/>
      <c r="E1815"/>
    </row>
    <row r="1816" spans="4:5" ht="14.5" x14ac:dyDescent="0.35">
      <c r="D1816"/>
      <c r="E1816"/>
    </row>
    <row r="1817" spans="4:5" ht="14.5" x14ac:dyDescent="0.35">
      <c r="D1817"/>
      <c r="E1817"/>
    </row>
    <row r="1818" spans="4:5" ht="14.5" x14ac:dyDescent="0.35">
      <c r="D1818"/>
      <c r="E1818"/>
    </row>
    <row r="1819" spans="4:5" ht="14.5" x14ac:dyDescent="0.35">
      <c r="D1819"/>
      <c r="E1819"/>
    </row>
    <row r="1820" spans="4:5" ht="14.5" x14ac:dyDescent="0.35">
      <c r="D1820"/>
      <c r="E1820"/>
    </row>
    <row r="1821" spans="4:5" ht="14.5" x14ac:dyDescent="0.35">
      <c r="D1821"/>
      <c r="E1821"/>
    </row>
    <row r="1822" spans="4:5" ht="14.5" x14ac:dyDescent="0.35">
      <c r="D1822"/>
      <c r="E1822"/>
    </row>
    <row r="1823" spans="4:5" ht="14.5" x14ac:dyDescent="0.35">
      <c r="D1823"/>
      <c r="E1823"/>
    </row>
    <row r="1824" spans="4:5" ht="14.5" x14ac:dyDescent="0.35">
      <c r="D1824"/>
      <c r="E1824"/>
    </row>
    <row r="1825" spans="4:5" ht="14.5" x14ac:dyDescent="0.35">
      <c r="D1825"/>
      <c r="E1825"/>
    </row>
    <row r="1826" spans="4:5" ht="14.5" x14ac:dyDescent="0.35">
      <c r="D1826"/>
      <c r="E1826"/>
    </row>
    <row r="1827" spans="4:5" ht="14.5" x14ac:dyDescent="0.35">
      <c r="D1827"/>
      <c r="E1827"/>
    </row>
    <row r="1828" spans="4:5" ht="14.5" x14ac:dyDescent="0.35">
      <c r="D1828"/>
      <c r="E1828"/>
    </row>
    <row r="1829" spans="4:5" ht="14.5" x14ac:dyDescent="0.35">
      <c r="D1829"/>
      <c r="E1829"/>
    </row>
    <row r="1830" spans="4:5" ht="14.5" x14ac:dyDescent="0.35">
      <c r="D1830"/>
      <c r="E1830"/>
    </row>
    <row r="1831" spans="4:5" ht="14.5" x14ac:dyDescent="0.35">
      <c r="D1831"/>
      <c r="E1831"/>
    </row>
    <row r="1832" spans="4:5" ht="14.5" x14ac:dyDescent="0.35">
      <c r="D1832"/>
      <c r="E1832"/>
    </row>
    <row r="1833" spans="4:5" ht="14.5" x14ac:dyDescent="0.35">
      <c r="D1833"/>
      <c r="E1833"/>
    </row>
    <row r="1834" spans="4:5" ht="14.5" x14ac:dyDescent="0.35">
      <c r="D1834"/>
      <c r="E1834"/>
    </row>
    <row r="1835" spans="4:5" ht="14.5" x14ac:dyDescent="0.35">
      <c r="D1835"/>
      <c r="E1835"/>
    </row>
    <row r="1836" spans="4:5" ht="14.5" x14ac:dyDescent="0.35">
      <c r="D1836"/>
      <c r="E1836"/>
    </row>
    <row r="1837" spans="4:5" ht="14.5" x14ac:dyDescent="0.35">
      <c r="D1837"/>
      <c r="E1837"/>
    </row>
    <row r="1838" spans="4:5" ht="14.5" x14ac:dyDescent="0.35">
      <c r="D1838"/>
      <c r="E1838"/>
    </row>
    <row r="1839" spans="4:5" ht="14.5" x14ac:dyDescent="0.35">
      <c r="D1839"/>
      <c r="E1839"/>
    </row>
    <row r="1840" spans="4:5" ht="14.5" x14ac:dyDescent="0.35">
      <c r="D1840"/>
      <c r="E1840"/>
    </row>
    <row r="1841" spans="4:5" ht="14.5" x14ac:dyDescent="0.35">
      <c r="D1841"/>
      <c r="E1841"/>
    </row>
    <row r="1842" spans="4:5" ht="14.5" x14ac:dyDescent="0.35">
      <c r="D1842"/>
      <c r="E1842"/>
    </row>
    <row r="1843" spans="4:5" ht="14.5" x14ac:dyDescent="0.35">
      <c r="D1843"/>
      <c r="E1843"/>
    </row>
    <row r="1844" spans="4:5" ht="14.5" x14ac:dyDescent="0.35">
      <c r="D1844"/>
      <c r="E1844"/>
    </row>
    <row r="1845" spans="4:5" ht="14.5" x14ac:dyDescent="0.35">
      <c r="D1845"/>
      <c r="E1845"/>
    </row>
    <row r="1846" spans="4:5" ht="14.5" x14ac:dyDescent="0.35">
      <c r="D1846"/>
      <c r="E1846"/>
    </row>
    <row r="1847" spans="4:5" ht="14.5" x14ac:dyDescent="0.35">
      <c r="D1847"/>
      <c r="E1847"/>
    </row>
    <row r="1848" spans="4:5" ht="14.5" x14ac:dyDescent="0.35">
      <c r="D1848"/>
      <c r="E1848"/>
    </row>
    <row r="1849" spans="4:5" ht="14.5" x14ac:dyDescent="0.35">
      <c r="D1849"/>
      <c r="E1849"/>
    </row>
    <row r="1850" spans="4:5" ht="14.5" x14ac:dyDescent="0.35">
      <c r="D1850"/>
      <c r="E1850"/>
    </row>
    <row r="1851" spans="4:5" ht="14.5" x14ac:dyDescent="0.35">
      <c r="D1851"/>
      <c r="E1851"/>
    </row>
    <row r="1852" spans="4:5" ht="14.5" x14ac:dyDescent="0.35">
      <c r="D1852"/>
      <c r="E1852"/>
    </row>
    <row r="1853" spans="4:5" ht="14.5" x14ac:dyDescent="0.35">
      <c r="D1853"/>
      <c r="E1853"/>
    </row>
    <row r="1854" spans="4:5" ht="14.5" x14ac:dyDescent="0.35">
      <c r="D1854"/>
      <c r="E1854"/>
    </row>
    <row r="1855" spans="4:5" ht="14.5" x14ac:dyDescent="0.35">
      <c r="D1855"/>
      <c r="E1855"/>
    </row>
    <row r="1856" spans="4:5" ht="14.5" x14ac:dyDescent="0.35">
      <c r="D1856"/>
      <c r="E1856"/>
    </row>
    <row r="1857" spans="4:5" ht="14.5" x14ac:dyDescent="0.35">
      <c r="D1857"/>
      <c r="E1857"/>
    </row>
    <row r="1858" spans="4:5" ht="14.5" x14ac:dyDescent="0.35">
      <c r="D1858"/>
      <c r="E1858"/>
    </row>
    <row r="1859" spans="4:5" ht="14.5" x14ac:dyDescent="0.35">
      <c r="D1859"/>
      <c r="E1859"/>
    </row>
    <row r="1860" spans="4:5" ht="14.5" x14ac:dyDescent="0.35">
      <c r="D1860"/>
      <c r="E1860"/>
    </row>
    <row r="1861" spans="4:5" ht="14.5" x14ac:dyDescent="0.35">
      <c r="D1861"/>
      <c r="E1861"/>
    </row>
    <row r="1862" spans="4:5" ht="14.5" x14ac:dyDescent="0.35">
      <c r="D1862"/>
      <c r="E1862"/>
    </row>
    <row r="1863" spans="4:5" ht="14.5" x14ac:dyDescent="0.35">
      <c r="D1863"/>
      <c r="E1863"/>
    </row>
    <row r="1864" spans="4:5" ht="14.5" x14ac:dyDescent="0.35">
      <c r="D1864"/>
      <c r="E1864"/>
    </row>
    <row r="1865" spans="4:5" ht="14.5" x14ac:dyDescent="0.35">
      <c r="D1865"/>
      <c r="E1865"/>
    </row>
    <row r="1866" spans="4:5" ht="14.5" x14ac:dyDescent="0.35">
      <c r="D1866"/>
      <c r="E1866"/>
    </row>
    <row r="1867" spans="4:5" ht="14.5" x14ac:dyDescent="0.35">
      <c r="D1867"/>
      <c r="E1867"/>
    </row>
    <row r="1868" spans="4:5" ht="14.5" x14ac:dyDescent="0.35">
      <c r="D1868"/>
      <c r="E1868"/>
    </row>
    <row r="1869" spans="4:5" ht="14.5" x14ac:dyDescent="0.35">
      <c r="D1869"/>
      <c r="E1869"/>
    </row>
    <row r="1870" spans="4:5" ht="14.5" x14ac:dyDescent="0.35">
      <c r="D1870"/>
      <c r="E1870"/>
    </row>
    <row r="1871" spans="4:5" ht="14.5" x14ac:dyDescent="0.35">
      <c r="D1871"/>
      <c r="E1871"/>
    </row>
    <row r="1872" spans="4:5" ht="14.5" x14ac:dyDescent="0.35">
      <c r="D1872"/>
      <c r="E1872"/>
    </row>
    <row r="1873" spans="4:5" ht="14.5" x14ac:dyDescent="0.35">
      <c r="D1873"/>
      <c r="E1873"/>
    </row>
    <row r="1874" spans="4:5" ht="14.5" x14ac:dyDescent="0.35">
      <c r="D1874"/>
      <c r="E1874"/>
    </row>
    <row r="1875" spans="4:5" ht="14.5" x14ac:dyDescent="0.35">
      <c r="D1875"/>
      <c r="E1875"/>
    </row>
    <row r="1876" spans="4:5" ht="14.5" x14ac:dyDescent="0.35">
      <c r="D1876"/>
      <c r="E1876"/>
    </row>
    <row r="1877" spans="4:5" ht="14.5" x14ac:dyDescent="0.35">
      <c r="D1877"/>
      <c r="E1877"/>
    </row>
    <row r="1878" spans="4:5" ht="14.5" x14ac:dyDescent="0.35">
      <c r="D1878"/>
      <c r="E1878"/>
    </row>
    <row r="1879" spans="4:5" ht="14.5" x14ac:dyDescent="0.35">
      <c r="D1879"/>
      <c r="E1879"/>
    </row>
    <row r="1880" spans="4:5" ht="14.5" x14ac:dyDescent="0.35">
      <c r="D1880"/>
      <c r="E1880"/>
    </row>
    <row r="1881" spans="4:5" ht="14.5" x14ac:dyDescent="0.35">
      <c r="D1881"/>
      <c r="E1881"/>
    </row>
    <row r="1882" spans="4:5" ht="14.5" x14ac:dyDescent="0.35">
      <c r="D1882"/>
      <c r="E1882"/>
    </row>
    <row r="1883" spans="4:5" ht="14.5" x14ac:dyDescent="0.35">
      <c r="D1883"/>
      <c r="E1883"/>
    </row>
    <row r="1884" spans="4:5" ht="14.5" x14ac:dyDescent="0.35">
      <c r="D1884"/>
      <c r="E1884"/>
    </row>
    <row r="1885" spans="4:5" ht="14.5" x14ac:dyDescent="0.35">
      <c r="D1885"/>
      <c r="E1885"/>
    </row>
    <row r="1886" spans="4:5" ht="14.5" x14ac:dyDescent="0.35">
      <c r="D1886"/>
      <c r="E1886"/>
    </row>
    <row r="1887" spans="4:5" ht="14.5" x14ac:dyDescent="0.35">
      <c r="D1887"/>
      <c r="E1887"/>
    </row>
    <row r="1888" spans="4:5" ht="14.5" x14ac:dyDescent="0.35">
      <c r="D1888"/>
      <c r="E1888"/>
    </row>
    <row r="1889" spans="4:5" ht="14.5" x14ac:dyDescent="0.35">
      <c r="D1889"/>
      <c r="E1889"/>
    </row>
    <row r="1890" spans="4:5" ht="14.5" x14ac:dyDescent="0.35">
      <c r="D1890"/>
      <c r="E1890"/>
    </row>
    <row r="1891" spans="4:5" ht="14.5" x14ac:dyDescent="0.35">
      <c r="D1891"/>
      <c r="E1891"/>
    </row>
    <row r="1892" spans="4:5" ht="14.5" x14ac:dyDescent="0.35">
      <c r="D1892"/>
      <c r="E1892"/>
    </row>
    <row r="1893" spans="4:5" ht="14.5" x14ac:dyDescent="0.35">
      <c r="D1893"/>
      <c r="E1893"/>
    </row>
    <row r="1894" spans="4:5" ht="14.5" x14ac:dyDescent="0.35">
      <c r="D1894"/>
      <c r="E1894"/>
    </row>
    <row r="1895" spans="4:5" ht="14.5" x14ac:dyDescent="0.35">
      <c r="D1895"/>
      <c r="E1895"/>
    </row>
    <row r="1896" spans="4:5" ht="14.5" x14ac:dyDescent="0.35">
      <c r="D1896"/>
      <c r="E1896"/>
    </row>
    <row r="1897" spans="4:5" ht="14.5" x14ac:dyDescent="0.35">
      <c r="D1897"/>
      <c r="E1897"/>
    </row>
    <row r="1898" spans="4:5" ht="14.5" x14ac:dyDescent="0.35">
      <c r="D1898"/>
      <c r="E1898"/>
    </row>
    <row r="1899" spans="4:5" ht="14.5" x14ac:dyDescent="0.35">
      <c r="D1899"/>
      <c r="E1899"/>
    </row>
    <row r="1900" spans="4:5" ht="14.5" x14ac:dyDescent="0.35">
      <c r="D1900"/>
      <c r="E1900"/>
    </row>
    <row r="1901" spans="4:5" ht="14.5" x14ac:dyDescent="0.35">
      <c r="D1901"/>
      <c r="E1901"/>
    </row>
    <row r="1902" spans="4:5" ht="14.5" x14ac:dyDescent="0.35">
      <c r="D1902"/>
      <c r="E1902"/>
    </row>
    <row r="1903" spans="4:5" ht="14.5" x14ac:dyDescent="0.35">
      <c r="D1903"/>
      <c r="E1903"/>
    </row>
    <row r="1904" spans="4:5" ht="14.5" x14ac:dyDescent="0.35">
      <c r="D1904"/>
      <c r="E1904"/>
    </row>
    <row r="1905" spans="4:5" ht="14.5" x14ac:dyDescent="0.35">
      <c r="D1905"/>
      <c r="E1905"/>
    </row>
    <row r="1906" spans="4:5" ht="14.5" x14ac:dyDescent="0.35">
      <c r="D1906"/>
      <c r="E1906"/>
    </row>
    <row r="1907" spans="4:5" ht="14.5" x14ac:dyDescent="0.35">
      <c r="D1907"/>
      <c r="E1907"/>
    </row>
    <row r="1908" spans="4:5" ht="14.5" x14ac:dyDescent="0.35">
      <c r="D1908"/>
      <c r="E1908"/>
    </row>
    <row r="1909" spans="4:5" ht="14.5" x14ac:dyDescent="0.35">
      <c r="D1909"/>
      <c r="E1909"/>
    </row>
    <row r="1910" spans="4:5" ht="14.5" x14ac:dyDescent="0.35">
      <c r="D1910"/>
      <c r="E1910"/>
    </row>
    <row r="1911" spans="4:5" ht="14.5" x14ac:dyDescent="0.35">
      <c r="D1911"/>
      <c r="E1911"/>
    </row>
    <row r="1912" spans="4:5" ht="14.5" x14ac:dyDescent="0.35">
      <c r="D1912"/>
      <c r="E1912"/>
    </row>
    <row r="1913" spans="4:5" ht="14.5" x14ac:dyDescent="0.35">
      <c r="D1913"/>
      <c r="E1913"/>
    </row>
    <row r="1914" spans="4:5" ht="14.5" x14ac:dyDescent="0.35">
      <c r="D1914"/>
      <c r="E1914"/>
    </row>
    <row r="1915" spans="4:5" ht="14.5" x14ac:dyDescent="0.35">
      <c r="D1915"/>
      <c r="E1915"/>
    </row>
    <row r="1916" spans="4:5" ht="14.5" x14ac:dyDescent="0.35">
      <c r="D1916"/>
      <c r="E1916"/>
    </row>
    <row r="1917" spans="4:5" ht="14.5" x14ac:dyDescent="0.35">
      <c r="D1917"/>
      <c r="E1917"/>
    </row>
    <row r="1918" spans="4:5" ht="14.5" x14ac:dyDescent="0.35">
      <c r="D1918"/>
      <c r="E1918"/>
    </row>
    <row r="1919" spans="4:5" ht="14.5" x14ac:dyDescent="0.35">
      <c r="D1919"/>
      <c r="E1919"/>
    </row>
    <row r="1920" spans="4:5" ht="14.5" x14ac:dyDescent="0.35">
      <c r="D1920"/>
      <c r="E1920"/>
    </row>
    <row r="1921" spans="4:5" ht="14.5" x14ac:dyDescent="0.35">
      <c r="D1921"/>
      <c r="E1921"/>
    </row>
    <row r="1922" spans="4:5" ht="14.5" x14ac:dyDescent="0.35">
      <c r="D1922"/>
      <c r="E1922"/>
    </row>
    <row r="1923" spans="4:5" ht="14.5" x14ac:dyDescent="0.35">
      <c r="D1923"/>
      <c r="E1923"/>
    </row>
    <row r="1924" spans="4:5" ht="14.5" x14ac:dyDescent="0.35">
      <c r="D1924"/>
      <c r="E1924"/>
    </row>
    <row r="1925" spans="4:5" ht="14.5" x14ac:dyDescent="0.35">
      <c r="D1925"/>
      <c r="E1925"/>
    </row>
    <row r="1926" spans="4:5" ht="14.5" x14ac:dyDescent="0.35">
      <c r="D1926"/>
      <c r="E1926"/>
    </row>
    <row r="1927" spans="4:5" ht="14.5" x14ac:dyDescent="0.35">
      <c r="D1927"/>
      <c r="E1927"/>
    </row>
    <row r="1928" spans="4:5" ht="14.5" x14ac:dyDescent="0.35">
      <c r="D1928"/>
      <c r="E1928"/>
    </row>
    <row r="1929" spans="4:5" ht="14.5" x14ac:dyDescent="0.35">
      <c r="D1929"/>
      <c r="E1929"/>
    </row>
    <row r="1930" spans="4:5" ht="14.5" x14ac:dyDescent="0.35">
      <c r="D1930"/>
      <c r="E1930"/>
    </row>
    <row r="1931" spans="4:5" ht="14.5" x14ac:dyDescent="0.35">
      <c r="D1931"/>
      <c r="E1931"/>
    </row>
    <row r="1932" spans="4:5" ht="14.5" x14ac:dyDescent="0.35">
      <c r="D1932"/>
      <c r="E1932"/>
    </row>
    <row r="1933" spans="4:5" ht="14.5" x14ac:dyDescent="0.35">
      <c r="D1933"/>
      <c r="E1933"/>
    </row>
    <row r="1934" spans="4:5" ht="14.5" x14ac:dyDescent="0.35">
      <c r="D1934"/>
      <c r="E1934"/>
    </row>
    <row r="1935" spans="4:5" ht="14.5" x14ac:dyDescent="0.35">
      <c r="D1935"/>
      <c r="E1935"/>
    </row>
    <row r="1936" spans="4:5" ht="14.5" x14ac:dyDescent="0.35">
      <c r="D1936"/>
      <c r="E1936"/>
    </row>
    <row r="1937" spans="4:5" ht="14.5" x14ac:dyDescent="0.35">
      <c r="D1937"/>
      <c r="E1937"/>
    </row>
    <row r="1938" spans="4:5" ht="14.5" x14ac:dyDescent="0.35">
      <c r="D1938"/>
      <c r="E1938"/>
    </row>
    <row r="1939" spans="4:5" ht="14.5" x14ac:dyDescent="0.35">
      <c r="D1939"/>
      <c r="E1939"/>
    </row>
    <row r="1940" spans="4:5" ht="14.5" x14ac:dyDescent="0.35">
      <c r="D1940"/>
      <c r="E1940"/>
    </row>
    <row r="1941" spans="4:5" ht="14.5" x14ac:dyDescent="0.35">
      <c r="D1941"/>
      <c r="E1941"/>
    </row>
    <row r="1942" spans="4:5" ht="14.5" x14ac:dyDescent="0.35">
      <c r="D1942"/>
      <c r="E1942"/>
    </row>
    <row r="1943" spans="4:5" ht="14.5" x14ac:dyDescent="0.35">
      <c r="D1943"/>
      <c r="E1943"/>
    </row>
    <row r="1944" spans="4:5" ht="14.5" x14ac:dyDescent="0.35">
      <c r="D1944"/>
      <c r="E1944"/>
    </row>
    <row r="1945" spans="4:5" ht="14.5" x14ac:dyDescent="0.35">
      <c r="D1945"/>
      <c r="E1945"/>
    </row>
    <row r="1946" spans="4:5" ht="14.5" x14ac:dyDescent="0.35">
      <c r="D1946"/>
      <c r="E1946"/>
    </row>
    <row r="1947" spans="4:5" ht="14.5" x14ac:dyDescent="0.35">
      <c r="D1947"/>
      <c r="E1947"/>
    </row>
    <row r="1948" spans="4:5" ht="14.5" x14ac:dyDescent="0.35">
      <c r="D1948"/>
      <c r="E1948"/>
    </row>
    <row r="1949" spans="4:5" ht="14.5" x14ac:dyDescent="0.35">
      <c r="D1949"/>
      <c r="E1949"/>
    </row>
    <row r="1950" spans="4:5" ht="14.5" x14ac:dyDescent="0.35">
      <c r="D1950"/>
      <c r="E1950"/>
    </row>
    <row r="1951" spans="4:5" ht="14.5" x14ac:dyDescent="0.35">
      <c r="D1951"/>
      <c r="E1951"/>
    </row>
    <row r="1952" spans="4:5" ht="14.5" x14ac:dyDescent="0.35">
      <c r="D1952"/>
      <c r="E1952"/>
    </row>
    <row r="1953" spans="4:5" ht="14.5" x14ac:dyDescent="0.35">
      <c r="D1953"/>
      <c r="E1953"/>
    </row>
    <row r="1954" spans="4:5" ht="14.5" x14ac:dyDescent="0.35">
      <c r="D1954"/>
      <c r="E1954"/>
    </row>
    <row r="1955" spans="4:5" ht="14.5" x14ac:dyDescent="0.35">
      <c r="D1955"/>
      <c r="E1955"/>
    </row>
    <row r="1956" spans="4:5" ht="14.5" x14ac:dyDescent="0.35">
      <c r="D1956"/>
      <c r="E1956"/>
    </row>
    <row r="1957" spans="4:5" ht="14.5" x14ac:dyDescent="0.35">
      <c r="D1957"/>
      <c r="E1957"/>
    </row>
    <row r="1958" spans="4:5" ht="14.5" x14ac:dyDescent="0.35">
      <c r="D1958"/>
      <c r="E1958"/>
    </row>
    <row r="1959" spans="4:5" ht="14.5" x14ac:dyDescent="0.35">
      <c r="D1959"/>
      <c r="E1959"/>
    </row>
    <row r="1960" spans="4:5" ht="14.5" x14ac:dyDescent="0.35">
      <c r="D1960"/>
      <c r="E1960"/>
    </row>
    <row r="1961" spans="4:5" ht="14.5" x14ac:dyDescent="0.35">
      <c r="D1961"/>
      <c r="E1961"/>
    </row>
    <row r="1962" spans="4:5" ht="14.5" x14ac:dyDescent="0.35">
      <c r="D1962"/>
      <c r="E1962"/>
    </row>
    <row r="1963" spans="4:5" ht="14.5" x14ac:dyDescent="0.35">
      <c r="D1963"/>
      <c r="E1963"/>
    </row>
    <row r="1964" spans="4:5" ht="14.5" x14ac:dyDescent="0.35">
      <c r="D1964"/>
      <c r="E1964"/>
    </row>
    <row r="1965" spans="4:5" ht="14.5" x14ac:dyDescent="0.35">
      <c r="D1965"/>
      <c r="E1965"/>
    </row>
    <row r="1966" spans="4:5" ht="14.5" x14ac:dyDescent="0.35">
      <c r="D1966"/>
      <c r="E1966"/>
    </row>
    <row r="1967" spans="4:5" ht="14.5" x14ac:dyDescent="0.35">
      <c r="D1967"/>
      <c r="E1967"/>
    </row>
    <row r="1968" spans="4:5" ht="14.5" x14ac:dyDescent="0.35">
      <c r="D1968"/>
      <c r="E1968"/>
    </row>
    <row r="1969" spans="4:5" ht="14.5" x14ac:dyDescent="0.35">
      <c r="D1969"/>
      <c r="E1969"/>
    </row>
    <row r="1970" spans="4:5" ht="14.5" x14ac:dyDescent="0.35">
      <c r="D1970"/>
      <c r="E1970"/>
    </row>
    <row r="1971" spans="4:5" ht="14.5" x14ac:dyDescent="0.35">
      <c r="D1971"/>
      <c r="E1971"/>
    </row>
    <row r="1972" spans="4:5" ht="14.5" x14ac:dyDescent="0.35">
      <c r="D1972"/>
      <c r="E1972"/>
    </row>
    <row r="1973" spans="4:5" ht="14.5" x14ac:dyDescent="0.35">
      <c r="D1973"/>
      <c r="E1973"/>
    </row>
    <row r="1974" spans="4:5" ht="14.5" x14ac:dyDescent="0.35">
      <c r="D1974"/>
      <c r="E1974"/>
    </row>
    <row r="1975" spans="4:5" ht="14.5" x14ac:dyDescent="0.35">
      <c r="D1975"/>
      <c r="E1975"/>
    </row>
    <row r="1976" spans="4:5" ht="14.5" x14ac:dyDescent="0.35">
      <c r="D1976"/>
      <c r="E1976"/>
    </row>
    <row r="1977" spans="4:5" ht="14.5" x14ac:dyDescent="0.35">
      <c r="D1977"/>
      <c r="E1977"/>
    </row>
    <row r="1978" spans="4:5" ht="14.5" x14ac:dyDescent="0.35">
      <c r="D1978"/>
      <c r="E1978"/>
    </row>
    <row r="1979" spans="4:5" ht="14.5" x14ac:dyDescent="0.35">
      <c r="D1979"/>
      <c r="E1979"/>
    </row>
    <row r="1980" spans="4:5" ht="14.5" x14ac:dyDescent="0.35">
      <c r="D1980"/>
      <c r="E1980"/>
    </row>
    <row r="1981" spans="4:5" ht="14.5" x14ac:dyDescent="0.35">
      <c r="D1981"/>
      <c r="E1981"/>
    </row>
    <row r="1982" spans="4:5" ht="14.5" x14ac:dyDescent="0.35">
      <c r="D1982"/>
      <c r="E1982"/>
    </row>
    <row r="1983" spans="4:5" ht="14.5" x14ac:dyDescent="0.35">
      <c r="D1983"/>
      <c r="E1983"/>
    </row>
    <row r="1984" spans="4:5" ht="14.5" x14ac:dyDescent="0.35">
      <c r="D1984"/>
      <c r="E1984"/>
    </row>
    <row r="1985" spans="4:5" ht="14.5" x14ac:dyDescent="0.35">
      <c r="D1985"/>
      <c r="E1985"/>
    </row>
    <row r="1986" spans="4:5" ht="14.5" x14ac:dyDescent="0.35">
      <c r="D1986"/>
      <c r="E1986"/>
    </row>
    <row r="1987" spans="4:5" ht="14.5" x14ac:dyDescent="0.35">
      <c r="D1987"/>
      <c r="E1987"/>
    </row>
    <row r="1988" spans="4:5" ht="14.5" x14ac:dyDescent="0.35">
      <c r="D1988"/>
      <c r="E1988"/>
    </row>
    <row r="1989" spans="4:5" ht="14.5" x14ac:dyDescent="0.35">
      <c r="D1989"/>
      <c r="E1989"/>
    </row>
    <row r="1990" spans="4:5" ht="14.5" x14ac:dyDescent="0.35">
      <c r="D1990"/>
      <c r="E1990"/>
    </row>
    <row r="1991" spans="4:5" ht="14.5" x14ac:dyDescent="0.35">
      <c r="D1991"/>
      <c r="E1991"/>
    </row>
    <row r="1992" spans="4:5" ht="14.5" x14ac:dyDescent="0.35">
      <c r="D1992"/>
      <c r="E1992"/>
    </row>
    <row r="1993" spans="4:5" ht="14.5" x14ac:dyDescent="0.35">
      <c r="D1993"/>
      <c r="E1993"/>
    </row>
    <row r="1994" spans="4:5" ht="14.5" x14ac:dyDescent="0.35">
      <c r="D1994"/>
      <c r="E1994"/>
    </row>
    <row r="1995" spans="4:5" ht="14.5" x14ac:dyDescent="0.35">
      <c r="D1995"/>
      <c r="E1995"/>
    </row>
    <row r="1996" spans="4:5" ht="14.5" x14ac:dyDescent="0.35">
      <c r="D1996"/>
      <c r="E1996"/>
    </row>
    <row r="1997" spans="4:5" ht="14.5" x14ac:dyDescent="0.35">
      <c r="D1997"/>
      <c r="E1997"/>
    </row>
    <row r="1998" spans="4:5" ht="14.5" x14ac:dyDescent="0.35">
      <c r="D1998"/>
      <c r="E1998"/>
    </row>
    <row r="1999" spans="4:5" ht="14.5" x14ac:dyDescent="0.35">
      <c r="D1999"/>
      <c r="E1999"/>
    </row>
    <row r="2000" spans="4:5" ht="14.5" x14ac:dyDescent="0.35">
      <c r="D2000"/>
      <c r="E2000"/>
    </row>
    <row r="2001" spans="4:5" ht="14.5" x14ac:dyDescent="0.35">
      <c r="D2001"/>
      <c r="E2001"/>
    </row>
    <row r="2002" spans="4:5" ht="14.5" x14ac:dyDescent="0.35">
      <c r="D2002"/>
      <c r="E2002"/>
    </row>
    <row r="2003" spans="4:5" ht="14.5" x14ac:dyDescent="0.35">
      <c r="D2003"/>
      <c r="E2003"/>
    </row>
    <row r="2004" spans="4:5" ht="14.5" x14ac:dyDescent="0.35">
      <c r="D2004"/>
      <c r="E2004"/>
    </row>
    <row r="2005" spans="4:5" ht="14.5" x14ac:dyDescent="0.35">
      <c r="D2005"/>
      <c r="E2005"/>
    </row>
    <row r="2006" spans="4:5" ht="14.5" x14ac:dyDescent="0.35">
      <c r="D2006"/>
      <c r="E2006"/>
    </row>
    <row r="2007" spans="4:5" ht="14.5" x14ac:dyDescent="0.35">
      <c r="D2007"/>
      <c r="E2007"/>
    </row>
    <row r="2008" spans="4:5" ht="14.5" x14ac:dyDescent="0.35">
      <c r="D2008"/>
      <c r="E2008"/>
    </row>
    <row r="2009" spans="4:5" ht="14.5" x14ac:dyDescent="0.35">
      <c r="D2009"/>
      <c r="E2009"/>
    </row>
    <row r="2010" spans="4:5" ht="14.5" x14ac:dyDescent="0.35">
      <c r="D2010"/>
      <c r="E2010"/>
    </row>
    <row r="2011" spans="4:5" ht="14.5" x14ac:dyDescent="0.35">
      <c r="D2011"/>
      <c r="E2011"/>
    </row>
    <row r="2012" spans="4:5" ht="14.5" x14ac:dyDescent="0.35">
      <c r="D2012"/>
      <c r="E2012"/>
    </row>
    <row r="2013" spans="4:5" ht="14.5" x14ac:dyDescent="0.35">
      <c r="D2013"/>
      <c r="E2013"/>
    </row>
    <row r="2014" spans="4:5" ht="14.5" x14ac:dyDescent="0.35">
      <c r="D2014"/>
      <c r="E2014"/>
    </row>
    <row r="2015" spans="4:5" ht="14.5" x14ac:dyDescent="0.35">
      <c r="D2015"/>
      <c r="E2015"/>
    </row>
    <row r="2016" spans="4:5" ht="14.5" x14ac:dyDescent="0.35">
      <c r="D2016"/>
      <c r="E2016"/>
    </row>
    <row r="2017" spans="4:5" ht="14.5" x14ac:dyDescent="0.35">
      <c r="D2017"/>
      <c r="E2017"/>
    </row>
    <row r="2018" spans="4:5" ht="14.5" x14ac:dyDescent="0.35">
      <c r="D2018"/>
      <c r="E2018"/>
    </row>
    <row r="2019" spans="4:5" ht="14.5" x14ac:dyDescent="0.35">
      <c r="D2019"/>
      <c r="E2019"/>
    </row>
    <row r="2020" spans="4:5" ht="14.5" x14ac:dyDescent="0.35">
      <c r="D2020"/>
      <c r="E2020"/>
    </row>
    <row r="2021" spans="4:5" ht="14.5" x14ac:dyDescent="0.35">
      <c r="D2021"/>
      <c r="E2021"/>
    </row>
    <row r="2022" spans="4:5" ht="14.5" x14ac:dyDescent="0.35">
      <c r="D2022"/>
      <c r="E2022"/>
    </row>
    <row r="2023" spans="4:5" ht="14.5" x14ac:dyDescent="0.35">
      <c r="D2023"/>
      <c r="E2023"/>
    </row>
    <row r="2024" spans="4:5" ht="14.5" x14ac:dyDescent="0.35">
      <c r="D2024"/>
      <c r="E2024"/>
    </row>
    <row r="2025" spans="4:5" ht="14.5" x14ac:dyDescent="0.35">
      <c r="D2025"/>
      <c r="E2025"/>
    </row>
    <row r="2026" spans="4:5" ht="14.5" x14ac:dyDescent="0.35">
      <c r="D2026"/>
      <c r="E2026"/>
    </row>
    <row r="2027" spans="4:5" ht="14.5" x14ac:dyDescent="0.35">
      <c r="D2027"/>
      <c r="E2027"/>
    </row>
    <row r="2028" spans="4:5" ht="14.5" x14ac:dyDescent="0.35">
      <c r="D2028"/>
      <c r="E2028"/>
    </row>
    <row r="2029" spans="4:5" ht="14.5" x14ac:dyDescent="0.35">
      <c r="D2029"/>
      <c r="E2029"/>
    </row>
    <row r="2030" spans="4:5" ht="14.5" x14ac:dyDescent="0.35">
      <c r="D2030"/>
      <c r="E2030"/>
    </row>
    <row r="2031" spans="4:5" ht="14.5" x14ac:dyDescent="0.35">
      <c r="D2031"/>
      <c r="E2031"/>
    </row>
    <row r="2032" spans="4:5" ht="14.5" x14ac:dyDescent="0.35">
      <c r="D2032"/>
      <c r="E2032"/>
    </row>
    <row r="2033" spans="4:5" ht="14.5" x14ac:dyDescent="0.35">
      <c r="D2033"/>
      <c r="E2033"/>
    </row>
    <row r="2034" spans="4:5" ht="14.5" x14ac:dyDescent="0.35">
      <c r="D2034"/>
      <c r="E2034"/>
    </row>
    <row r="2035" spans="4:5" ht="14.5" x14ac:dyDescent="0.35">
      <c r="D2035"/>
      <c r="E2035"/>
    </row>
    <row r="2036" spans="4:5" ht="14.5" x14ac:dyDescent="0.35">
      <c r="D2036"/>
      <c r="E2036"/>
    </row>
    <row r="2037" spans="4:5" ht="14.5" x14ac:dyDescent="0.35">
      <c r="D2037"/>
      <c r="E2037"/>
    </row>
    <row r="2038" spans="4:5" ht="14.5" x14ac:dyDescent="0.35">
      <c r="D2038"/>
      <c r="E2038"/>
    </row>
    <row r="2039" spans="4:5" ht="14.5" x14ac:dyDescent="0.35">
      <c r="D2039"/>
      <c r="E2039"/>
    </row>
    <row r="2040" spans="4:5" ht="14.5" x14ac:dyDescent="0.35">
      <c r="D2040"/>
      <c r="E2040"/>
    </row>
    <row r="2041" spans="4:5" ht="14.5" x14ac:dyDescent="0.35">
      <c r="D2041"/>
      <c r="E2041"/>
    </row>
    <row r="2042" spans="4:5" ht="14.5" x14ac:dyDescent="0.35">
      <c r="D2042"/>
      <c r="E2042"/>
    </row>
    <row r="2043" spans="4:5" ht="14.5" x14ac:dyDescent="0.35">
      <c r="D2043"/>
      <c r="E2043"/>
    </row>
    <row r="2044" spans="4:5" ht="14.5" x14ac:dyDescent="0.35">
      <c r="D2044"/>
      <c r="E2044"/>
    </row>
    <row r="2045" spans="4:5" ht="14.5" x14ac:dyDescent="0.35">
      <c r="D2045"/>
      <c r="E2045"/>
    </row>
    <row r="2046" spans="4:5" ht="14.5" x14ac:dyDescent="0.35">
      <c r="D2046"/>
      <c r="E2046"/>
    </row>
    <row r="2047" spans="4:5" ht="14.5" x14ac:dyDescent="0.35">
      <c r="D2047"/>
      <c r="E2047"/>
    </row>
    <row r="2048" spans="4:5" ht="14.5" x14ac:dyDescent="0.35">
      <c r="D2048"/>
      <c r="E2048"/>
    </row>
    <row r="2049" spans="4:5" ht="14.5" x14ac:dyDescent="0.35">
      <c r="D2049"/>
      <c r="E2049"/>
    </row>
    <row r="2050" spans="4:5" ht="14.5" x14ac:dyDescent="0.35">
      <c r="D2050"/>
      <c r="E2050"/>
    </row>
    <row r="2051" spans="4:5" ht="14.5" x14ac:dyDescent="0.35">
      <c r="D2051"/>
      <c r="E2051"/>
    </row>
    <row r="2052" spans="4:5" ht="14.5" x14ac:dyDescent="0.35">
      <c r="D2052"/>
      <c r="E2052"/>
    </row>
    <row r="2053" spans="4:5" ht="14.5" x14ac:dyDescent="0.35">
      <c r="D2053"/>
      <c r="E2053"/>
    </row>
    <row r="2054" spans="4:5" ht="14.5" x14ac:dyDescent="0.35">
      <c r="D2054"/>
      <c r="E2054"/>
    </row>
    <row r="2055" spans="4:5" ht="14.5" x14ac:dyDescent="0.35">
      <c r="D2055"/>
      <c r="E2055"/>
    </row>
    <row r="2056" spans="4:5" ht="14.5" x14ac:dyDescent="0.35">
      <c r="D2056"/>
      <c r="E2056"/>
    </row>
    <row r="2057" spans="4:5" ht="14.5" x14ac:dyDescent="0.35">
      <c r="D2057"/>
      <c r="E2057"/>
    </row>
    <row r="2058" spans="4:5" ht="14.5" x14ac:dyDescent="0.35">
      <c r="D2058"/>
      <c r="E2058"/>
    </row>
    <row r="2059" spans="4:5" ht="14.5" x14ac:dyDescent="0.35">
      <c r="D2059"/>
      <c r="E2059"/>
    </row>
    <row r="2060" spans="4:5" ht="14.5" x14ac:dyDescent="0.35">
      <c r="D2060"/>
      <c r="E2060"/>
    </row>
    <row r="2061" spans="4:5" ht="14.5" x14ac:dyDescent="0.35">
      <c r="D2061"/>
      <c r="E2061"/>
    </row>
    <row r="2062" spans="4:5" ht="14.5" x14ac:dyDescent="0.35">
      <c r="D2062"/>
      <c r="E2062"/>
    </row>
    <row r="2063" spans="4:5" ht="14.5" x14ac:dyDescent="0.35">
      <c r="D2063"/>
      <c r="E2063"/>
    </row>
    <row r="2064" spans="4:5" ht="14.5" x14ac:dyDescent="0.35">
      <c r="D2064"/>
      <c r="E2064"/>
    </row>
    <row r="2065" spans="4:5" ht="14.5" x14ac:dyDescent="0.35">
      <c r="D2065"/>
      <c r="E2065"/>
    </row>
    <row r="2066" spans="4:5" ht="14.5" x14ac:dyDescent="0.35">
      <c r="D2066"/>
      <c r="E2066"/>
    </row>
    <row r="2067" spans="4:5" ht="14.5" x14ac:dyDescent="0.35">
      <c r="D2067"/>
      <c r="E2067"/>
    </row>
    <row r="2068" spans="4:5" ht="14.5" x14ac:dyDescent="0.35">
      <c r="D2068"/>
      <c r="E2068"/>
    </row>
    <row r="2069" spans="4:5" ht="14.5" x14ac:dyDescent="0.35">
      <c r="D2069"/>
      <c r="E2069"/>
    </row>
    <row r="2070" spans="4:5" ht="14.5" x14ac:dyDescent="0.35">
      <c r="D2070"/>
      <c r="E2070"/>
    </row>
    <row r="2071" spans="4:5" ht="14.5" x14ac:dyDescent="0.35">
      <c r="D2071"/>
      <c r="E2071"/>
    </row>
    <row r="2072" spans="4:5" ht="14.5" x14ac:dyDescent="0.35">
      <c r="D2072"/>
      <c r="E2072"/>
    </row>
    <row r="2073" spans="4:5" ht="14.5" x14ac:dyDescent="0.35">
      <c r="D2073"/>
      <c r="E2073"/>
    </row>
    <row r="2074" spans="4:5" ht="14.5" x14ac:dyDescent="0.35">
      <c r="D2074"/>
      <c r="E2074"/>
    </row>
    <row r="2075" spans="4:5" ht="14.5" x14ac:dyDescent="0.35">
      <c r="D2075"/>
      <c r="E2075"/>
    </row>
    <row r="2076" spans="4:5" ht="14.5" x14ac:dyDescent="0.35">
      <c r="D2076"/>
      <c r="E2076"/>
    </row>
    <row r="2077" spans="4:5" ht="14.5" x14ac:dyDescent="0.35">
      <c r="D2077"/>
      <c r="E2077"/>
    </row>
    <row r="2078" spans="4:5" ht="14.5" x14ac:dyDescent="0.35">
      <c r="D2078"/>
      <c r="E2078"/>
    </row>
    <row r="2079" spans="4:5" ht="14.5" x14ac:dyDescent="0.35">
      <c r="D2079"/>
      <c r="E2079"/>
    </row>
    <row r="2080" spans="4:5" ht="14.5" x14ac:dyDescent="0.35">
      <c r="D2080"/>
      <c r="E2080"/>
    </row>
    <row r="2081" spans="4:5" ht="14.5" x14ac:dyDescent="0.35">
      <c r="D2081"/>
      <c r="E2081"/>
    </row>
    <row r="2082" spans="4:5" ht="14.5" x14ac:dyDescent="0.35">
      <c r="D2082"/>
      <c r="E2082"/>
    </row>
    <row r="2083" spans="4:5" ht="14.5" x14ac:dyDescent="0.35">
      <c r="D2083"/>
      <c r="E2083"/>
    </row>
    <row r="2084" spans="4:5" ht="14.5" x14ac:dyDescent="0.35">
      <c r="D2084"/>
      <c r="E2084"/>
    </row>
    <row r="2085" spans="4:5" ht="14.5" x14ac:dyDescent="0.35">
      <c r="D2085"/>
      <c r="E2085"/>
    </row>
    <row r="2086" spans="4:5" ht="14.5" x14ac:dyDescent="0.35">
      <c r="D2086"/>
      <c r="E2086"/>
    </row>
    <row r="2087" spans="4:5" ht="14.5" x14ac:dyDescent="0.35">
      <c r="D2087"/>
      <c r="E2087"/>
    </row>
    <row r="2088" spans="4:5" ht="14.5" x14ac:dyDescent="0.35">
      <c r="D2088"/>
      <c r="E2088"/>
    </row>
    <row r="2089" spans="4:5" ht="14.5" x14ac:dyDescent="0.35">
      <c r="D2089"/>
      <c r="E2089"/>
    </row>
    <row r="2090" spans="4:5" ht="14.5" x14ac:dyDescent="0.35">
      <c r="D2090"/>
      <c r="E2090"/>
    </row>
    <row r="2091" spans="4:5" ht="14.5" x14ac:dyDescent="0.35">
      <c r="D2091"/>
      <c r="E2091"/>
    </row>
    <row r="2092" spans="4:5" ht="14.5" x14ac:dyDescent="0.35">
      <c r="D2092"/>
      <c r="E2092"/>
    </row>
    <row r="2093" spans="4:5" ht="14.5" x14ac:dyDescent="0.35">
      <c r="D2093"/>
      <c r="E2093"/>
    </row>
    <row r="2094" spans="4:5" ht="14.5" x14ac:dyDescent="0.35">
      <c r="D2094"/>
      <c r="E2094"/>
    </row>
    <row r="2095" spans="4:5" ht="14.5" x14ac:dyDescent="0.35">
      <c r="D2095"/>
      <c r="E2095"/>
    </row>
    <row r="2096" spans="4:5" ht="14.5" x14ac:dyDescent="0.35">
      <c r="D2096"/>
      <c r="E2096"/>
    </row>
    <row r="2097" spans="4:5" ht="14.5" x14ac:dyDescent="0.35">
      <c r="D2097"/>
      <c r="E2097"/>
    </row>
    <row r="2098" spans="4:5" ht="14.5" x14ac:dyDescent="0.35">
      <c r="D2098"/>
      <c r="E2098"/>
    </row>
    <row r="2099" spans="4:5" ht="14.5" x14ac:dyDescent="0.35">
      <c r="D2099"/>
      <c r="E2099"/>
    </row>
    <row r="2100" spans="4:5" ht="14.5" x14ac:dyDescent="0.35">
      <c r="D2100"/>
      <c r="E2100"/>
    </row>
    <row r="2101" spans="4:5" ht="14.5" x14ac:dyDescent="0.35">
      <c r="D2101"/>
      <c r="E2101"/>
    </row>
    <row r="2102" spans="4:5" ht="14.5" x14ac:dyDescent="0.35">
      <c r="D2102"/>
      <c r="E2102"/>
    </row>
    <row r="2103" spans="4:5" ht="14.5" x14ac:dyDescent="0.35">
      <c r="D2103"/>
      <c r="E2103"/>
    </row>
    <row r="2104" spans="4:5" ht="14.5" x14ac:dyDescent="0.35">
      <c r="D2104"/>
      <c r="E2104"/>
    </row>
    <row r="2105" spans="4:5" ht="14.5" x14ac:dyDescent="0.35">
      <c r="D2105"/>
      <c r="E2105"/>
    </row>
    <row r="2106" spans="4:5" ht="14.5" x14ac:dyDescent="0.35">
      <c r="D2106"/>
      <c r="E2106"/>
    </row>
    <row r="2107" spans="4:5" ht="14.5" x14ac:dyDescent="0.35">
      <c r="D2107"/>
      <c r="E2107"/>
    </row>
    <row r="2108" spans="4:5" ht="14.5" x14ac:dyDescent="0.35">
      <c r="D2108"/>
      <c r="E2108"/>
    </row>
    <row r="2109" spans="4:5" ht="14.5" x14ac:dyDescent="0.35">
      <c r="D2109"/>
      <c r="E2109"/>
    </row>
    <row r="2110" spans="4:5" ht="14.5" x14ac:dyDescent="0.35">
      <c r="D2110"/>
      <c r="E2110"/>
    </row>
    <row r="2111" spans="4:5" ht="14.5" x14ac:dyDescent="0.35">
      <c r="D2111"/>
      <c r="E2111"/>
    </row>
    <row r="2112" spans="4:5" ht="14.5" x14ac:dyDescent="0.35">
      <c r="D2112"/>
      <c r="E2112"/>
    </row>
    <row r="2113" spans="4:5" ht="14.5" x14ac:dyDescent="0.35">
      <c r="D2113"/>
      <c r="E2113"/>
    </row>
    <row r="2114" spans="4:5" ht="14.5" x14ac:dyDescent="0.35">
      <c r="D2114"/>
      <c r="E2114"/>
    </row>
    <row r="2115" spans="4:5" ht="14.5" x14ac:dyDescent="0.35">
      <c r="D2115"/>
      <c r="E2115"/>
    </row>
    <row r="2116" spans="4:5" ht="14.5" x14ac:dyDescent="0.35">
      <c r="D2116"/>
      <c r="E2116"/>
    </row>
    <row r="2117" spans="4:5" ht="14.5" x14ac:dyDescent="0.35">
      <c r="D2117"/>
      <c r="E2117"/>
    </row>
    <row r="2118" spans="4:5" ht="14.5" x14ac:dyDescent="0.35">
      <c r="D2118"/>
      <c r="E2118"/>
    </row>
    <row r="2119" spans="4:5" ht="14.5" x14ac:dyDescent="0.35">
      <c r="D2119"/>
      <c r="E2119"/>
    </row>
    <row r="2120" spans="4:5" ht="14.5" x14ac:dyDescent="0.35">
      <c r="D2120"/>
      <c r="E2120"/>
    </row>
    <row r="2121" spans="4:5" ht="14.5" x14ac:dyDescent="0.35">
      <c r="D2121"/>
      <c r="E2121"/>
    </row>
    <row r="2122" spans="4:5" ht="14.5" x14ac:dyDescent="0.35">
      <c r="D2122"/>
      <c r="E2122"/>
    </row>
    <row r="2123" spans="4:5" ht="14.5" x14ac:dyDescent="0.35">
      <c r="D2123"/>
      <c r="E2123"/>
    </row>
    <row r="2124" spans="4:5" ht="14.5" x14ac:dyDescent="0.35">
      <c r="D2124"/>
      <c r="E2124"/>
    </row>
    <row r="2125" spans="4:5" ht="14.5" x14ac:dyDescent="0.35">
      <c r="D2125"/>
      <c r="E2125"/>
    </row>
    <row r="2126" spans="4:5" ht="14.5" x14ac:dyDescent="0.35">
      <c r="D2126"/>
      <c r="E2126"/>
    </row>
    <row r="2127" spans="4:5" ht="14.5" x14ac:dyDescent="0.35">
      <c r="D2127"/>
      <c r="E2127"/>
    </row>
    <row r="2128" spans="4:5" ht="14.5" x14ac:dyDescent="0.35">
      <c r="D2128"/>
      <c r="E2128"/>
    </row>
    <row r="2129" spans="4:5" ht="14.5" x14ac:dyDescent="0.35">
      <c r="D2129"/>
      <c r="E2129"/>
    </row>
    <row r="2130" spans="4:5" ht="14.5" x14ac:dyDescent="0.35">
      <c r="D2130"/>
      <c r="E2130"/>
    </row>
    <row r="2131" spans="4:5" ht="14.5" x14ac:dyDescent="0.35">
      <c r="D2131"/>
      <c r="E2131"/>
    </row>
    <row r="2132" spans="4:5" ht="14.5" x14ac:dyDescent="0.35">
      <c r="D2132"/>
      <c r="E2132"/>
    </row>
    <row r="2133" spans="4:5" ht="14.5" x14ac:dyDescent="0.35">
      <c r="D2133"/>
      <c r="E2133"/>
    </row>
    <row r="2134" spans="4:5" ht="14.5" x14ac:dyDescent="0.35">
      <c r="D2134"/>
      <c r="E2134"/>
    </row>
    <row r="2135" spans="4:5" ht="14.5" x14ac:dyDescent="0.35">
      <c r="D2135"/>
      <c r="E2135"/>
    </row>
    <row r="2136" spans="4:5" ht="14.5" x14ac:dyDescent="0.35">
      <c r="D2136"/>
      <c r="E2136"/>
    </row>
    <row r="2137" spans="4:5" ht="14.5" x14ac:dyDescent="0.35">
      <c r="D2137"/>
      <c r="E2137"/>
    </row>
    <row r="2138" spans="4:5" ht="14.5" x14ac:dyDescent="0.35">
      <c r="D2138"/>
      <c r="E2138"/>
    </row>
    <row r="2139" spans="4:5" ht="14.5" x14ac:dyDescent="0.35">
      <c r="D2139"/>
      <c r="E2139"/>
    </row>
    <row r="2140" spans="4:5" ht="14.5" x14ac:dyDescent="0.35">
      <c r="D2140"/>
      <c r="E2140"/>
    </row>
    <row r="2141" spans="4:5" ht="14.5" x14ac:dyDescent="0.35">
      <c r="D2141"/>
      <c r="E2141"/>
    </row>
    <row r="2142" spans="4:5" ht="14.5" x14ac:dyDescent="0.35">
      <c r="D2142"/>
      <c r="E2142"/>
    </row>
    <row r="2143" spans="4:5" ht="14.5" x14ac:dyDescent="0.35">
      <c r="D2143"/>
      <c r="E2143"/>
    </row>
    <row r="2144" spans="4:5" ht="14.5" x14ac:dyDescent="0.35">
      <c r="D2144"/>
      <c r="E2144"/>
    </row>
    <row r="2145" spans="4:5" ht="14.5" x14ac:dyDescent="0.35">
      <c r="D2145"/>
      <c r="E2145"/>
    </row>
    <row r="2146" spans="4:5" ht="14.5" x14ac:dyDescent="0.35">
      <c r="D2146"/>
      <c r="E2146"/>
    </row>
    <row r="2147" spans="4:5" ht="14.5" x14ac:dyDescent="0.35">
      <c r="D2147"/>
      <c r="E2147"/>
    </row>
    <row r="2148" spans="4:5" ht="14.5" x14ac:dyDescent="0.35">
      <c r="D2148"/>
      <c r="E2148"/>
    </row>
    <row r="2149" spans="4:5" ht="14.5" x14ac:dyDescent="0.35">
      <c r="D2149"/>
      <c r="E2149"/>
    </row>
    <row r="2150" spans="4:5" ht="14.5" x14ac:dyDescent="0.35">
      <c r="D2150"/>
      <c r="E2150"/>
    </row>
    <row r="2151" spans="4:5" ht="14.5" x14ac:dyDescent="0.35">
      <c r="D2151"/>
      <c r="E2151"/>
    </row>
    <row r="2152" spans="4:5" ht="14.5" x14ac:dyDescent="0.35">
      <c r="D2152"/>
      <c r="E2152"/>
    </row>
    <row r="2153" spans="4:5" ht="14.5" x14ac:dyDescent="0.35">
      <c r="D2153"/>
      <c r="E2153"/>
    </row>
    <row r="2154" spans="4:5" ht="14.5" x14ac:dyDescent="0.35">
      <c r="D2154"/>
      <c r="E2154"/>
    </row>
    <row r="2155" spans="4:5" ht="14.5" x14ac:dyDescent="0.35">
      <c r="D2155"/>
      <c r="E2155"/>
    </row>
    <row r="2156" spans="4:5" ht="14.5" x14ac:dyDescent="0.35">
      <c r="D2156"/>
      <c r="E2156"/>
    </row>
    <row r="2157" spans="4:5" ht="14.5" x14ac:dyDescent="0.35">
      <c r="D2157"/>
      <c r="E2157"/>
    </row>
    <row r="2158" spans="4:5" ht="14.5" x14ac:dyDescent="0.35">
      <c r="D2158"/>
      <c r="E2158"/>
    </row>
    <row r="2159" spans="4:5" ht="14.5" x14ac:dyDescent="0.35">
      <c r="D2159"/>
      <c r="E2159"/>
    </row>
    <row r="2160" spans="4:5" ht="14.5" x14ac:dyDescent="0.35">
      <c r="D2160"/>
      <c r="E2160"/>
    </row>
    <row r="2161" spans="4:5" ht="14.5" x14ac:dyDescent="0.35">
      <c r="D2161"/>
      <c r="E2161"/>
    </row>
    <row r="2162" spans="4:5" ht="14.5" x14ac:dyDescent="0.35">
      <c r="D2162"/>
      <c r="E2162"/>
    </row>
    <row r="2163" spans="4:5" ht="14.5" x14ac:dyDescent="0.35">
      <c r="D2163"/>
      <c r="E2163"/>
    </row>
    <row r="2164" spans="4:5" ht="14.5" x14ac:dyDescent="0.35">
      <c r="D2164"/>
      <c r="E2164"/>
    </row>
    <row r="2165" spans="4:5" ht="14.5" x14ac:dyDescent="0.35">
      <c r="D2165"/>
      <c r="E2165"/>
    </row>
    <row r="2166" spans="4:5" ht="14.5" x14ac:dyDescent="0.35">
      <c r="D2166"/>
      <c r="E2166"/>
    </row>
    <row r="2167" spans="4:5" ht="14.5" x14ac:dyDescent="0.35">
      <c r="D2167"/>
      <c r="E2167"/>
    </row>
    <row r="2168" spans="4:5" ht="14.5" x14ac:dyDescent="0.35">
      <c r="D2168"/>
      <c r="E2168"/>
    </row>
    <row r="2169" spans="4:5" ht="14.5" x14ac:dyDescent="0.35">
      <c r="D2169"/>
      <c r="E2169"/>
    </row>
    <row r="2170" spans="4:5" ht="14.5" x14ac:dyDescent="0.35">
      <c r="D2170"/>
      <c r="E2170"/>
    </row>
    <row r="2171" spans="4:5" ht="14.5" x14ac:dyDescent="0.35">
      <c r="D2171"/>
      <c r="E2171"/>
    </row>
    <row r="2172" spans="4:5" ht="14.5" x14ac:dyDescent="0.35">
      <c r="D2172"/>
      <c r="E2172"/>
    </row>
    <row r="2173" spans="4:5" ht="14.5" x14ac:dyDescent="0.35">
      <c r="D2173"/>
      <c r="E2173"/>
    </row>
    <row r="2174" spans="4:5" ht="14.5" x14ac:dyDescent="0.35">
      <c r="D2174"/>
      <c r="E2174"/>
    </row>
    <row r="2175" spans="4:5" ht="14.5" x14ac:dyDescent="0.35">
      <c r="D2175"/>
      <c r="E2175"/>
    </row>
    <row r="2176" spans="4:5" ht="14.5" x14ac:dyDescent="0.35">
      <c r="D2176"/>
      <c r="E2176"/>
    </row>
    <row r="2177" spans="4:5" ht="14.5" x14ac:dyDescent="0.35">
      <c r="D2177"/>
      <c r="E2177"/>
    </row>
    <row r="2178" spans="4:5" ht="14.5" x14ac:dyDescent="0.35">
      <c r="D2178"/>
      <c r="E2178"/>
    </row>
    <row r="2179" spans="4:5" ht="14.5" x14ac:dyDescent="0.35">
      <c r="D2179"/>
      <c r="E2179"/>
    </row>
    <row r="2180" spans="4:5" ht="14.5" x14ac:dyDescent="0.35">
      <c r="D2180"/>
      <c r="E2180"/>
    </row>
    <row r="2181" spans="4:5" ht="14.5" x14ac:dyDescent="0.35">
      <c r="D2181"/>
      <c r="E2181"/>
    </row>
    <row r="2182" spans="4:5" ht="14.5" x14ac:dyDescent="0.35">
      <c r="D2182"/>
      <c r="E2182"/>
    </row>
    <row r="2183" spans="4:5" ht="14.5" x14ac:dyDescent="0.35">
      <c r="D2183"/>
      <c r="E2183"/>
    </row>
    <row r="2184" spans="4:5" ht="14.5" x14ac:dyDescent="0.35">
      <c r="D2184"/>
      <c r="E2184"/>
    </row>
    <row r="2185" spans="4:5" ht="14.5" x14ac:dyDescent="0.35">
      <c r="D2185"/>
      <c r="E2185"/>
    </row>
    <row r="2186" spans="4:5" ht="14.5" x14ac:dyDescent="0.35">
      <c r="D2186"/>
      <c r="E2186"/>
    </row>
    <row r="2187" spans="4:5" ht="14.5" x14ac:dyDescent="0.35">
      <c r="D2187"/>
      <c r="E2187"/>
    </row>
    <row r="2188" spans="4:5" ht="14.5" x14ac:dyDescent="0.35">
      <c r="D2188"/>
      <c r="E2188"/>
    </row>
    <row r="2189" spans="4:5" ht="14.5" x14ac:dyDescent="0.35">
      <c r="D2189"/>
      <c r="E2189"/>
    </row>
    <row r="2190" spans="4:5" ht="14.5" x14ac:dyDescent="0.35">
      <c r="D2190"/>
      <c r="E2190"/>
    </row>
    <row r="2191" spans="4:5" ht="14.5" x14ac:dyDescent="0.35">
      <c r="D2191"/>
      <c r="E2191"/>
    </row>
    <row r="2192" spans="4:5" ht="14.5" x14ac:dyDescent="0.35">
      <c r="D2192"/>
      <c r="E2192"/>
    </row>
    <row r="2193" spans="4:5" ht="14.5" x14ac:dyDescent="0.35">
      <c r="D2193"/>
      <c r="E2193"/>
    </row>
    <row r="2194" spans="4:5" ht="14.5" x14ac:dyDescent="0.35">
      <c r="D2194"/>
      <c r="E2194"/>
    </row>
    <row r="2195" spans="4:5" ht="14.5" x14ac:dyDescent="0.35">
      <c r="D2195"/>
      <c r="E2195"/>
    </row>
    <row r="2196" spans="4:5" ht="14.5" x14ac:dyDescent="0.35">
      <c r="D2196"/>
      <c r="E2196"/>
    </row>
    <row r="2197" spans="4:5" ht="14.5" x14ac:dyDescent="0.35">
      <c r="D2197"/>
      <c r="E2197"/>
    </row>
    <row r="2198" spans="4:5" ht="14.5" x14ac:dyDescent="0.35">
      <c r="D2198"/>
      <c r="E2198"/>
    </row>
    <row r="2199" spans="4:5" ht="14.5" x14ac:dyDescent="0.35">
      <c r="D2199"/>
      <c r="E2199"/>
    </row>
    <row r="2200" spans="4:5" ht="14.5" x14ac:dyDescent="0.35">
      <c r="D2200"/>
      <c r="E2200"/>
    </row>
    <row r="2201" spans="4:5" ht="14.5" x14ac:dyDescent="0.35">
      <c r="D2201"/>
      <c r="E2201"/>
    </row>
    <row r="2202" spans="4:5" ht="14.5" x14ac:dyDescent="0.35">
      <c r="D2202"/>
      <c r="E2202"/>
    </row>
    <row r="2203" spans="4:5" ht="14.5" x14ac:dyDescent="0.35">
      <c r="D2203"/>
      <c r="E2203"/>
    </row>
    <row r="2204" spans="4:5" ht="14.5" x14ac:dyDescent="0.35">
      <c r="D2204"/>
      <c r="E2204"/>
    </row>
    <row r="2205" spans="4:5" ht="14.5" x14ac:dyDescent="0.35">
      <c r="D2205"/>
      <c r="E2205"/>
    </row>
    <row r="2206" spans="4:5" ht="14.5" x14ac:dyDescent="0.35">
      <c r="D2206"/>
      <c r="E2206"/>
    </row>
    <row r="2207" spans="4:5" ht="14.5" x14ac:dyDescent="0.35">
      <c r="D2207"/>
      <c r="E2207"/>
    </row>
    <row r="2208" spans="4:5" ht="14.5" x14ac:dyDescent="0.35">
      <c r="D2208"/>
      <c r="E2208"/>
    </row>
    <row r="2209" spans="4:5" ht="14.5" x14ac:dyDescent="0.35">
      <c r="D2209"/>
      <c r="E2209"/>
    </row>
    <row r="2210" spans="4:5" ht="14.5" x14ac:dyDescent="0.35">
      <c r="D2210"/>
      <c r="E2210"/>
    </row>
    <row r="2211" spans="4:5" ht="14.5" x14ac:dyDescent="0.35">
      <c r="D2211"/>
      <c r="E2211"/>
    </row>
    <row r="2212" spans="4:5" ht="14.5" x14ac:dyDescent="0.35">
      <c r="D2212"/>
      <c r="E2212"/>
    </row>
    <row r="2213" spans="4:5" ht="14.5" x14ac:dyDescent="0.35">
      <c r="D2213"/>
      <c r="E2213"/>
    </row>
    <row r="2214" spans="4:5" ht="14.5" x14ac:dyDescent="0.35">
      <c r="D2214"/>
      <c r="E2214"/>
    </row>
    <row r="2215" spans="4:5" ht="14.5" x14ac:dyDescent="0.35">
      <c r="D2215"/>
      <c r="E2215"/>
    </row>
    <row r="2216" spans="4:5" ht="14.5" x14ac:dyDescent="0.35">
      <c r="D2216"/>
      <c r="E2216"/>
    </row>
    <row r="2217" spans="4:5" ht="14.5" x14ac:dyDescent="0.35">
      <c r="D2217"/>
      <c r="E2217"/>
    </row>
    <row r="2218" spans="4:5" ht="14.5" x14ac:dyDescent="0.35">
      <c r="D2218"/>
      <c r="E2218"/>
    </row>
    <row r="2219" spans="4:5" ht="14.5" x14ac:dyDescent="0.35">
      <c r="D2219"/>
      <c r="E2219"/>
    </row>
    <row r="2220" spans="4:5" ht="14.5" x14ac:dyDescent="0.35">
      <c r="D2220"/>
      <c r="E2220"/>
    </row>
    <row r="2221" spans="4:5" ht="14.5" x14ac:dyDescent="0.35">
      <c r="D2221"/>
      <c r="E2221"/>
    </row>
    <row r="2222" spans="4:5" ht="14.5" x14ac:dyDescent="0.35">
      <c r="D2222"/>
      <c r="E2222"/>
    </row>
    <row r="2223" spans="4:5" ht="14.5" x14ac:dyDescent="0.35">
      <c r="D2223"/>
      <c r="E2223"/>
    </row>
    <row r="2224" spans="4:5" ht="14.5" x14ac:dyDescent="0.35">
      <c r="D2224"/>
      <c r="E2224"/>
    </row>
    <row r="2225" spans="4:5" ht="14.5" x14ac:dyDescent="0.35">
      <c r="D2225"/>
      <c r="E2225"/>
    </row>
    <row r="2226" spans="4:5" ht="14.5" x14ac:dyDescent="0.35">
      <c r="D2226"/>
      <c r="E2226"/>
    </row>
    <row r="2227" spans="4:5" ht="14.5" x14ac:dyDescent="0.35">
      <c r="D2227"/>
      <c r="E2227"/>
    </row>
    <row r="2228" spans="4:5" ht="14.5" x14ac:dyDescent="0.35">
      <c r="D2228"/>
      <c r="E2228"/>
    </row>
    <row r="2229" spans="4:5" ht="14.5" x14ac:dyDescent="0.35">
      <c r="D2229"/>
      <c r="E2229"/>
    </row>
    <row r="2230" spans="4:5" ht="14.5" x14ac:dyDescent="0.35">
      <c r="D2230"/>
      <c r="E2230"/>
    </row>
    <row r="2231" spans="4:5" ht="14.5" x14ac:dyDescent="0.35">
      <c r="D2231"/>
      <c r="E2231"/>
    </row>
    <row r="2232" spans="4:5" ht="14.5" x14ac:dyDescent="0.35">
      <c r="D2232"/>
      <c r="E2232"/>
    </row>
    <row r="2233" spans="4:5" ht="14.5" x14ac:dyDescent="0.35">
      <c r="D2233"/>
      <c r="E2233"/>
    </row>
    <row r="2234" spans="4:5" ht="14.5" x14ac:dyDescent="0.35">
      <c r="D2234"/>
      <c r="E2234"/>
    </row>
    <row r="2235" spans="4:5" ht="14.5" x14ac:dyDescent="0.35">
      <c r="D2235"/>
      <c r="E2235"/>
    </row>
    <row r="2236" spans="4:5" ht="14.5" x14ac:dyDescent="0.35">
      <c r="D2236"/>
      <c r="E2236"/>
    </row>
    <row r="2237" spans="4:5" ht="14.5" x14ac:dyDescent="0.35">
      <c r="D2237"/>
      <c r="E2237"/>
    </row>
    <row r="2238" spans="4:5" ht="14.5" x14ac:dyDescent="0.35">
      <c r="D2238"/>
      <c r="E2238"/>
    </row>
    <row r="2239" spans="4:5" ht="14.5" x14ac:dyDescent="0.35">
      <c r="D2239"/>
      <c r="E2239"/>
    </row>
    <row r="2240" spans="4:5" ht="14.5" x14ac:dyDescent="0.35">
      <c r="D2240"/>
      <c r="E2240"/>
    </row>
    <row r="2241" spans="4:5" ht="14.5" x14ac:dyDescent="0.35">
      <c r="D2241"/>
      <c r="E2241"/>
    </row>
    <row r="2242" spans="4:5" ht="14.5" x14ac:dyDescent="0.35">
      <c r="D2242"/>
      <c r="E2242"/>
    </row>
    <row r="2243" spans="4:5" ht="14.5" x14ac:dyDescent="0.35">
      <c r="D2243"/>
      <c r="E2243"/>
    </row>
    <row r="2244" spans="4:5" ht="14.5" x14ac:dyDescent="0.35">
      <c r="D2244"/>
      <c r="E2244"/>
    </row>
    <row r="2245" spans="4:5" ht="14.5" x14ac:dyDescent="0.35">
      <c r="D2245"/>
      <c r="E2245"/>
    </row>
    <row r="2246" spans="4:5" ht="14.5" x14ac:dyDescent="0.35">
      <c r="D2246"/>
      <c r="E2246"/>
    </row>
    <row r="2247" spans="4:5" ht="14.5" x14ac:dyDescent="0.35">
      <c r="D2247"/>
      <c r="E2247"/>
    </row>
    <row r="2248" spans="4:5" ht="14.5" x14ac:dyDescent="0.35">
      <c r="D2248"/>
      <c r="E2248"/>
    </row>
    <row r="2249" spans="4:5" ht="14.5" x14ac:dyDescent="0.35">
      <c r="D2249"/>
      <c r="E2249"/>
    </row>
    <row r="2250" spans="4:5" ht="14.5" x14ac:dyDescent="0.35">
      <c r="D2250"/>
      <c r="E2250"/>
    </row>
    <row r="2251" spans="4:5" ht="14.5" x14ac:dyDescent="0.35">
      <c r="D2251"/>
      <c r="E2251"/>
    </row>
    <row r="2252" spans="4:5" ht="14.5" x14ac:dyDescent="0.35">
      <c r="D2252"/>
      <c r="E2252"/>
    </row>
    <row r="2253" spans="4:5" ht="14.5" x14ac:dyDescent="0.35">
      <c r="D2253"/>
      <c r="E2253"/>
    </row>
    <row r="2254" spans="4:5" ht="14.5" x14ac:dyDescent="0.35">
      <c r="D2254"/>
      <c r="E2254"/>
    </row>
    <row r="2255" spans="4:5" ht="14.5" x14ac:dyDescent="0.35">
      <c r="D2255"/>
      <c r="E2255"/>
    </row>
    <row r="2256" spans="4:5" ht="14.5" x14ac:dyDescent="0.35">
      <c r="D2256"/>
      <c r="E2256"/>
    </row>
    <row r="2257" spans="4:5" ht="14.5" x14ac:dyDescent="0.35">
      <c r="D2257"/>
      <c r="E2257"/>
    </row>
    <row r="2258" spans="4:5" ht="14.5" x14ac:dyDescent="0.35">
      <c r="D2258"/>
      <c r="E2258"/>
    </row>
    <row r="2259" spans="4:5" ht="14.5" x14ac:dyDescent="0.35">
      <c r="D2259"/>
      <c r="E2259"/>
    </row>
    <row r="2260" spans="4:5" ht="14.5" x14ac:dyDescent="0.35">
      <c r="D2260"/>
      <c r="E2260"/>
    </row>
    <row r="2261" spans="4:5" ht="14.5" x14ac:dyDescent="0.35">
      <c r="D2261"/>
      <c r="E2261"/>
    </row>
    <row r="2262" spans="4:5" ht="14.5" x14ac:dyDescent="0.35">
      <c r="D2262"/>
      <c r="E2262"/>
    </row>
    <row r="2263" spans="4:5" ht="14.5" x14ac:dyDescent="0.35">
      <c r="D2263"/>
      <c r="E2263"/>
    </row>
    <row r="2264" spans="4:5" ht="14.5" x14ac:dyDescent="0.35">
      <c r="D2264"/>
      <c r="E2264"/>
    </row>
    <row r="2265" spans="4:5" ht="14.5" x14ac:dyDescent="0.35">
      <c r="D2265"/>
      <c r="E2265"/>
    </row>
    <row r="2266" spans="4:5" ht="14.5" x14ac:dyDescent="0.35">
      <c r="D2266"/>
      <c r="E2266"/>
    </row>
    <row r="2267" spans="4:5" ht="14.5" x14ac:dyDescent="0.35">
      <c r="D2267"/>
      <c r="E2267"/>
    </row>
    <row r="2268" spans="4:5" ht="14.5" x14ac:dyDescent="0.35">
      <c r="D2268"/>
      <c r="E2268"/>
    </row>
    <row r="2269" spans="4:5" ht="14.5" x14ac:dyDescent="0.35">
      <c r="D2269"/>
      <c r="E2269"/>
    </row>
    <row r="2270" spans="4:5" ht="14.5" x14ac:dyDescent="0.35">
      <c r="D2270"/>
      <c r="E2270"/>
    </row>
    <row r="2271" spans="4:5" ht="14.5" x14ac:dyDescent="0.35">
      <c r="D2271"/>
      <c r="E2271"/>
    </row>
    <row r="2272" spans="4:5" ht="14.5" x14ac:dyDescent="0.35">
      <c r="D2272"/>
      <c r="E2272"/>
    </row>
    <row r="2273" spans="4:5" ht="14.5" x14ac:dyDescent="0.35">
      <c r="D2273"/>
      <c r="E2273"/>
    </row>
    <row r="2274" spans="4:5" ht="14.5" x14ac:dyDescent="0.35">
      <c r="D2274"/>
      <c r="E2274"/>
    </row>
    <row r="2275" spans="4:5" ht="14.5" x14ac:dyDescent="0.35">
      <c r="D2275"/>
      <c r="E2275"/>
    </row>
    <row r="2276" spans="4:5" ht="14.5" x14ac:dyDescent="0.35">
      <c r="D2276"/>
      <c r="E2276"/>
    </row>
    <row r="2277" spans="4:5" ht="14.5" x14ac:dyDescent="0.35">
      <c r="D2277"/>
      <c r="E2277"/>
    </row>
    <row r="2278" spans="4:5" ht="14.5" x14ac:dyDescent="0.35">
      <c r="D2278"/>
      <c r="E2278"/>
    </row>
    <row r="2279" spans="4:5" ht="14.5" x14ac:dyDescent="0.35">
      <c r="D2279"/>
      <c r="E2279"/>
    </row>
    <row r="2280" spans="4:5" ht="14.5" x14ac:dyDescent="0.35">
      <c r="D2280"/>
      <c r="E2280"/>
    </row>
    <row r="2281" spans="4:5" ht="14.5" x14ac:dyDescent="0.35">
      <c r="D2281"/>
      <c r="E2281"/>
    </row>
    <row r="2282" spans="4:5" ht="14.5" x14ac:dyDescent="0.35">
      <c r="D2282"/>
      <c r="E2282"/>
    </row>
    <row r="2283" spans="4:5" ht="14.5" x14ac:dyDescent="0.35">
      <c r="D2283"/>
      <c r="E2283"/>
    </row>
    <row r="2284" spans="4:5" ht="14.5" x14ac:dyDescent="0.35">
      <c r="D2284"/>
      <c r="E2284"/>
    </row>
    <row r="2285" spans="4:5" ht="14.5" x14ac:dyDescent="0.35">
      <c r="D2285"/>
      <c r="E2285"/>
    </row>
    <row r="2286" spans="4:5" ht="14.5" x14ac:dyDescent="0.35">
      <c r="D2286"/>
      <c r="E2286"/>
    </row>
    <row r="2287" spans="4:5" ht="14.5" x14ac:dyDescent="0.35">
      <c r="D2287"/>
      <c r="E2287"/>
    </row>
    <row r="2288" spans="4:5" ht="14.5" x14ac:dyDescent="0.35">
      <c r="D2288"/>
      <c r="E2288"/>
    </row>
    <row r="2289" spans="4:5" ht="14.5" x14ac:dyDescent="0.35">
      <c r="D2289"/>
      <c r="E2289"/>
    </row>
    <row r="2290" spans="4:5" ht="14.5" x14ac:dyDescent="0.35">
      <c r="D2290"/>
      <c r="E2290"/>
    </row>
    <row r="2291" spans="4:5" ht="14.5" x14ac:dyDescent="0.35">
      <c r="D2291"/>
      <c r="E2291"/>
    </row>
    <row r="2292" spans="4:5" ht="14.5" x14ac:dyDescent="0.35">
      <c r="D2292"/>
      <c r="E2292"/>
    </row>
    <row r="2293" spans="4:5" ht="14.5" x14ac:dyDescent="0.35">
      <c r="D2293"/>
      <c r="E2293"/>
    </row>
    <row r="2294" spans="4:5" ht="14.5" x14ac:dyDescent="0.35">
      <c r="D2294"/>
      <c r="E2294"/>
    </row>
    <row r="2295" spans="4:5" ht="14.5" x14ac:dyDescent="0.35">
      <c r="D2295"/>
      <c r="E2295"/>
    </row>
    <row r="2296" spans="4:5" ht="14.5" x14ac:dyDescent="0.35">
      <c r="D2296"/>
      <c r="E2296"/>
    </row>
    <row r="2297" spans="4:5" ht="14.5" x14ac:dyDescent="0.35">
      <c r="D2297"/>
      <c r="E2297"/>
    </row>
    <row r="2298" spans="4:5" ht="14.5" x14ac:dyDescent="0.35">
      <c r="D2298"/>
      <c r="E2298"/>
    </row>
    <row r="2299" spans="4:5" ht="14.5" x14ac:dyDescent="0.35">
      <c r="D2299"/>
      <c r="E2299"/>
    </row>
    <row r="2300" spans="4:5" ht="14.5" x14ac:dyDescent="0.35">
      <c r="D2300"/>
      <c r="E2300"/>
    </row>
    <row r="2301" spans="4:5" ht="14.5" x14ac:dyDescent="0.35">
      <c r="D2301"/>
      <c r="E2301"/>
    </row>
    <row r="2302" spans="4:5" ht="14.5" x14ac:dyDescent="0.35">
      <c r="D2302"/>
      <c r="E2302"/>
    </row>
    <row r="2303" spans="4:5" ht="14.5" x14ac:dyDescent="0.35">
      <c r="D2303"/>
      <c r="E2303"/>
    </row>
    <row r="2304" spans="4:5" ht="14.5" x14ac:dyDescent="0.35">
      <c r="D2304"/>
      <c r="E2304"/>
    </row>
    <row r="2305" spans="4:5" ht="14.5" x14ac:dyDescent="0.35">
      <c r="D2305"/>
      <c r="E2305"/>
    </row>
    <row r="2306" spans="4:5" ht="14.5" x14ac:dyDescent="0.35">
      <c r="D2306"/>
      <c r="E2306"/>
    </row>
    <row r="2307" spans="4:5" ht="14.5" x14ac:dyDescent="0.35">
      <c r="D2307"/>
      <c r="E2307"/>
    </row>
    <row r="2308" spans="4:5" ht="14.5" x14ac:dyDescent="0.35">
      <c r="D2308"/>
      <c r="E2308"/>
    </row>
    <row r="2309" spans="4:5" ht="14.5" x14ac:dyDescent="0.35">
      <c r="D2309"/>
      <c r="E2309"/>
    </row>
    <row r="2310" spans="4:5" ht="14.5" x14ac:dyDescent="0.35">
      <c r="D2310"/>
      <c r="E2310"/>
    </row>
    <row r="2311" spans="4:5" ht="14.5" x14ac:dyDescent="0.35">
      <c r="D2311"/>
      <c r="E2311"/>
    </row>
    <row r="2312" spans="4:5" ht="14.5" x14ac:dyDescent="0.35">
      <c r="D2312"/>
      <c r="E2312"/>
    </row>
    <row r="2313" spans="4:5" ht="14.5" x14ac:dyDescent="0.35">
      <c r="D2313"/>
      <c r="E2313"/>
    </row>
    <row r="2314" spans="4:5" ht="14.5" x14ac:dyDescent="0.35">
      <c r="D2314"/>
      <c r="E2314"/>
    </row>
    <row r="2315" spans="4:5" ht="14.5" x14ac:dyDescent="0.35">
      <c r="D2315"/>
      <c r="E2315"/>
    </row>
    <row r="2316" spans="4:5" ht="14.5" x14ac:dyDescent="0.35">
      <c r="D2316"/>
      <c r="E2316"/>
    </row>
    <row r="2317" spans="4:5" ht="14.5" x14ac:dyDescent="0.35">
      <c r="D2317"/>
      <c r="E2317"/>
    </row>
    <row r="2318" spans="4:5" ht="14.5" x14ac:dyDescent="0.35">
      <c r="D2318"/>
      <c r="E2318"/>
    </row>
    <row r="2319" spans="4:5" ht="14.5" x14ac:dyDescent="0.35">
      <c r="D2319"/>
      <c r="E2319"/>
    </row>
    <row r="2320" spans="4:5" ht="14.5" x14ac:dyDescent="0.35">
      <c r="D2320"/>
      <c r="E2320"/>
    </row>
    <row r="2321" spans="4:5" ht="14.5" x14ac:dyDescent="0.35">
      <c r="D2321"/>
      <c r="E2321"/>
    </row>
    <row r="2322" spans="4:5" ht="14.5" x14ac:dyDescent="0.35">
      <c r="D2322"/>
      <c r="E2322"/>
    </row>
    <row r="2323" spans="4:5" ht="14.5" x14ac:dyDescent="0.35">
      <c r="D2323"/>
      <c r="E2323"/>
    </row>
    <row r="2324" spans="4:5" ht="14.5" x14ac:dyDescent="0.35">
      <c r="D2324"/>
      <c r="E2324"/>
    </row>
    <row r="2325" spans="4:5" ht="14.5" x14ac:dyDescent="0.35">
      <c r="D2325"/>
      <c r="E2325"/>
    </row>
    <row r="2326" spans="4:5" ht="14.5" x14ac:dyDescent="0.35">
      <c r="D2326"/>
      <c r="E2326"/>
    </row>
    <row r="2327" spans="4:5" ht="14.5" x14ac:dyDescent="0.35">
      <c r="D2327"/>
      <c r="E2327"/>
    </row>
    <row r="2328" spans="4:5" ht="14.5" x14ac:dyDescent="0.35">
      <c r="D2328"/>
      <c r="E2328"/>
    </row>
    <row r="2329" spans="4:5" ht="14.5" x14ac:dyDescent="0.35">
      <c r="D2329"/>
      <c r="E2329"/>
    </row>
    <row r="2330" spans="4:5" ht="14.5" x14ac:dyDescent="0.35">
      <c r="D2330"/>
      <c r="E2330"/>
    </row>
    <row r="2331" spans="4:5" ht="14.5" x14ac:dyDescent="0.35">
      <c r="D2331"/>
      <c r="E2331"/>
    </row>
    <row r="2332" spans="4:5" ht="14.5" x14ac:dyDescent="0.35">
      <c r="D2332"/>
      <c r="E2332"/>
    </row>
    <row r="2333" spans="4:5" ht="14.5" x14ac:dyDescent="0.35">
      <c r="D2333"/>
      <c r="E2333"/>
    </row>
    <row r="2334" spans="4:5" ht="14.5" x14ac:dyDescent="0.35">
      <c r="D2334"/>
      <c r="E2334"/>
    </row>
    <row r="2335" spans="4:5" ht="14.5" x14ac:dyDescent="0.35">
      <c r="D2335"/>
      <c r="E2335"/>
    </row>
    <row r="2336" spans="4:5" ht="14.5" x14ac:dyDescent="0.35">
      <c r="D2336"/>
      <c r="E2336"/>
    </row>
    <row r="2337" spans="4:5" ht="14.5" x14ac:dyDescent="0.35">
      <c r="D2337"/>
      <c r="E2337"/>
    </row>
    <row r="2338" spans="4:5" ht="14.5" x14ac:dyDescent="0.35">
      <c r="D2338"/>
      <c r="E2338"/>
    </row>
    <row r="2339" spans="4:5" ht="14.5" x14ac:dyDescent="0.35">
      <c r="D2339"/>
      <c r="E2339"/>
    </row>
    <row r="2340" spans="4:5" ht="14.5" x14ac:dyDescent="0.35">
      <c r="D2340"/>
      <c r="E2340"/>
    </row>
    <row r="2341" spans="4:5" ht="14.5" x14ac:dyDescent="0.35">
      <c r="D2341"/>
      <c r="E2341"/>
    </row>
    <row r="2342" spans="4:5" ht="14.5" x14ac:dyDescent="0.35">
      <c r="D2342"/>
      <c r="E2342"/>
    </row>
    <row r="2343" spans="4:5" ht="14.5" x14ac:dyDescent="0.35">
      <c r="D2343"/>
      <c r="E2343"/>
    </row>
    <row r="2344" spans="4:5" ht="14.5" x14ac:dyDescent="0.35">
      <c r="D2344"/>
      <c r="E2344"/>
    </row>
    <row r="2345" spans="4:5" ht="14.5" x14ac:dyDescent="0.35">
      <c r="D2345"/>
      <c r="E2345"/>
    </row>
    <row r="2346" spans="4:5" ht="14.5" x14ac:dyDescent="0.35">
      <c r="D2346"/>
      <c r="E2346"/>
    </row>
    <row r="2347" spans="4:5" ht="14.5" x14ac:dyDescent="0.35">
      <c r="D2347"/>
      <c r="E2347"/>
    </row>
    <row r="2348" spans="4:5" ht="14.5" x14ac:dyDescent="0.35">
      <c r="D2348"/>
      <c r="E2348"/>
    </row>
    <row r="2349" spans="4:5" ht="14.5" x14ac:dyDescent="0.35">
      <c r="D2349"/>
      <c r="E2349"/>
    </row>
    <row r="2350" spans="4:5" ht="14.5" x14ac:dyDescent="0.35">
      <c r="D2350"/>
      <c r="E2350"/>
    </row>
    <row r="2351" spans="4:5" ht="14.5" x14ac:dyDescent="0.35">
      <c r="D2351"/>
      <c r="E2351"/>
    </row>
    <row r="2352" spans="4:5" ht="14.5" x14ac:dyDescent="0.35">
      <c r="D2352"/>
      <c r="E2352"/>
    </row>
    <row r="2353" spans="4:5" ht="14.5" x14ac:dyDescent="0.35">
      <c r="D2353"/>
      <c r="E2353"/>
    </row>
    <row r="2354" spans="4:5" ht="14.5" x14ac:dyDescent="0.35">
      <c r="D2354"/>
      <c r="E2354"/>
    </row>
    <row r="2355" spans="4:5" ht="14.5" x14ac:dyDescent="0.35">
      <c r="D2355"/>
      <c r="E2355"/>
    </row>
    <row r="2356" spans="4:5" ht="14.5" x14ac:dyDescent="0.35">
      <c r="D2356"/>
      <c r="E2356"/>
    </row>
    <row r="2357" spans="4:5" ht="14.5" x14ac:dyDescent="0.35">
      <c r="D2357"/>
      <c r="E2357"/>
    </row>
    <row r="2358" spans="4:5" ht="14.5" x14ac:dyDescent="0.35">
      <c r="D2358"/>
      <c r="E2358"/>
    </row>
    <row r="2359" spans="4:5" ht="14.5" x14ac:dyDescent="0.35">
      <c r="D2359"/>
      <c r="E2359"/>
    </row>
    <row r="2360" spans="4:5" ht="14.5" x14ac:dyDescent="0.35">
      <c r="D2360"/>
      <c r="E2360"/>
    </row>
    <row r="2361" spans="4:5" ht="14.5" x14ac:dyDescent="0.35">
      <c r="D2361"/>
      <c r="E2361"/>
    </row>
    <row r="2362" spans="4:5" ht="14.5" x14ac:dyDescent="0.35">
      <c r="D2362"/>
      <c r="E2362"/>
    </row>
    <row r="2363" spans="4:5" ht="14.5" x14ac:dyDescent="0.35">
      <c r="D2363"/>
      <c r="E2363"/>
    </row>
    <row r="2364" spans="4:5" ht="14.5" x14ac:dyDescent="0.35">
      <c r="D2364"/>
      <c r="E2364"/>
    </row>
    <row r="2365" spans="4:5" ht="14.5" x14ac:dyDescent="0.35">
      <c r="D2365"/>
      <c r="E2365"/>
    </row>
    <row r="2366" spans="4:5" ht="14.5" x14ac:dyDescent="0.35">
      <c r="D2366"/>
      <c r="E2366"/>
    </row>
    <row r="2367" spans="4:5" ht="14.5" x14ac:dyDescent="0.35">
      <c r="D2367"/>
      <c r="E2367"/>
    </row>
    <row r="2368" spans="4:5" ht="14.5" x14ac:dyDescent="0.35">
      <c r="D2368"/>
      <c r="E2368"/>
    </row>
    <row r="2369" spans="4:5" ht="14.5" x14ac:dyDescent="0.35">
      <c r="D2369"/>
      <c r="E2369"/>
    </row>
    <row r="2370" spans="4:5" ht="14.5" x14ac:dyDescent="0.35">
      <c r="D2370"/>
      <c r="E2370"/>
    </row>
    <row r="2371" spans="4:5" ht="14.5" x14ac:dyDescent="0.35">
      <c r="D2371"/>
      <c r="E2371"/>
    </row>
    <row r="2372" spans="4:5" ht="14.5" x14ac:dyDescent="0.35">
      <c r="D2372"/>
      <c r="E2372"/>
    </row>
    <row r="2373" spans="4:5" ht="14.5" x14ac:dyDescent="0.35">
      <c r="D2373"/>
      <c r="E2373"/>
    </row>
    <row r="2374" spans="4:5" ht="14.5" x14ac:dyDescent="0.35">
      <c r="D2374"/>
      <c r="E2374"/>
    </row>
    <row r="2375" spans="4:5" ht="14.5" x14ac:dyDescent="0.35">
      <c r="D2375"/>
      <c r="E2375"/>
    </row>
    <row r="2376" spans="4:5" ht="14.5" x14ac:dyDescent="0.35">
      <c r="D2376"/>
      <c r="E2376"/>
    </row>
    <row r="2377" spans="4:5" ht="14.5" x14ac:dyDescent="0.35">
      <c r="D2377"/>
      <c r="E2377"/>
    </row>
    <row r="2378" spans="4:5" ht="14.5" x14ac:dyDescent="0.35">
      <c r="D2378"/>
      <c r="E2378"/>
    </row>
    <row r="2379" spans="4:5" ht="14.5" x14ac:dyDescent="0.35">
      <c r="D2379"/>
      <c r="E2379"/>
    </row>
    <row r="2380" spans="4:5" ht="14.5" x14ac:dyDescent="0.35">
      <c r="D2380"/>
      <c r="E2380"/>
    </row>
    <row r="2381" spans="4:5" ht="14.5" x14ac:dyDescent="0.35">
      <c r="D2381"/>
      <c r="E2381"/>
    </row>
    <row r="2382" spans="4:5" ht="14.5" x14ac:dyDescent="0.35">
      <c r="D2382"/>
      <c r="E2382"/>
    </row>
    <row r="2383" spans="4:5" ht="14.5" x14ac:dyDescent="0.35">
      <c r="D2383"/>
      <c r="E2383"/>
    </row>
    <row r="2384" spans="4:5" ht="14.5" x14ac:dyDescent="0.35">
      <c r="D2384"/>
      <c r="E2384"/>
    </row>
    <row r="2385" spans="4:5" ht="14.5" x14ac:dyDescent="0.35">
      <c r="D2385"/>
      <c r="E2385"/>
    </row>
    <row r="2386" spans="4:5" ht="14.5" x14ac:dyDescent="0.35">
      <c r="D2386"/>
      <c r="E2386"/>
    </row>
    <row r="2387" spans="4:5" ht="14.5" x14ac:dyDescent="0.35">
      <c r="D2387"/>
      <c r="E2387"/>
    </row>
    <row r="2388" spans="4:5" ht="14.5" x14ac:dyDescent="0.35">
      <c r="D2388"/>
      <c r="E2388"/>
    </row>
    <row r="2389" spans="4:5" ht="14.5" x14ac:dyDescent="0.35">
      <c r="D2389"/>
      <c r="E2389"/>
    </row>
    <row r="2390" spans="4:5" ht="14.5" x14ac:dyDescent="0.35">
      <c r="D2390"/>
      <c r="E2390"/>
    </row>
    <row r="2391" spans="4:5" ht="14.5" x14ac:dyDescent="0.35">
      <c r="D2391"/>
      <c r="E2391"/>
    </row>
    <row r="2392" spans="4:5" ht="14.5" x14ac:dyDescent="0.35">
      <c r="D2392"/>
      <c r="E2392"/>
    </row>
    <row r="2393" spans="4:5" ht="14.5" x14ac:dyDescent="0.35">
      <c r="D2393"/>
      <c r="E2393"/>
    </row>
    <row r="2394" spans="4:5" ht="14.5" x14ac:dyDescent="0.35">
      <c r="D2394"/>
      <c r="E2394"/>
    </row>
    <row r="2395" spans="4:5" ht="14.5" x14ac:dyDescent="0.35">
      <c r="D2395"/>
      <c r="E2395"/>
    </row>
    <row r="2396" spans="4:5" ht="14.5" x14ac:dyDescent="0.35">
      <c r="D2396"/>
      <c r="E2396"/>
    </row>
    <row r="2397" spans="4:5" ht="14.5" x14ac:dyDescent="0.35">
      <c r="D2397"/>
      <c r="E2397"/>
    </row>
    <row r="2398" spans="4:5" ht="14.5" x14ac:dyDescent="0.35">
      <c r="D2398"/>
      <c r="E2398"/>
    </row>
    <row r="2399" spans="4:5" ht="14.5" x14ac:dyDescent="0.35">
      <c r="D2399"/>
      <c r="E2399"/>
    </row>
    <row r="2400" spans="4:5" ht="14.5" x14ac:dyDescent="0.35">
      <c r="D2400"/>
      <c r="E2400"/>
    </row>
    <row r="2401" spans="4:5" ht="14.5" x14ac:dyDescent="0.35">
      <c r="D2401"/>
      <c r="E2401"/>
    </row>
    <row r="2402" spans="4:5" ht="14.5" x14ac:dyDescent="0.35">
      <c r="D2402"/>
      <c r="E2402"/>
    </row>
    <row r="2403" spans="4:5" ht="14.5" x14ac:dyDescent="0.35">
      <c r="D2403"/>
      <c r="E2403"/>
    </row>
    <row r="2404" spans="4:5" ht="14.5" x14ac:dyDescent="0.35">
      <c r="D2404"/>
      <c r="E2404"/>
    </row>
    <row r="2405" spans="4:5" ht="14.5" x14ac:dyDescent="0.35">
      <c r="D2405"/>
      <c r="E2405"/>
    </row>
    <row r="2406" spans="4:5" ht="14.5" x14ac:dyDescent="0.35">
      <c r="D2406"/>
      <c r="E2406"/>
    </row>
    <row r="2407" spans="4:5" ht="14.5" x14ac:dyDescent="0.35">
      <c r="D2407"/>
      <c r="E2407"/>
    </row>
    <row r="2408" spans="4:5" ht="14.5" x14ac:dyDescent="0.35">
      <c r="D2408"/>
      <c r="E2408"/>
    </row>
    <row r="2409" spans="4:5" ht="14.5" x14ac:dyDescent="0.35">
      <c r="D2409"/>
      <c r="E2409"/>
    </row>
    <row r="2410" spans="4:5" ht="14.5" x14ac:dyDescent="0.35">
      <c r="D2410"/>
      <c r="E2410"/>
    </row>
    <row r="2411" spans="4:5" ht="14.5" x14ac:dyDescent="0.35">
      <c r="D2411"/>
      <c r="E2411"/>
    </row>
    <row r="2412" spans="4:5" ht="14.5" x14ac:dyDescent="0.35">
      <c r="D2412"/>
      <c r="E2412"/>
    </row>
    <row r="2413" spans="4:5" ht="14.5" x14ac:dyDescent="0.35">
      <c r="D2413"/>
      <c r="E2413"/>
    </row>
    <row r="2414" spans="4:5" ht="14.5" x14ac:dyDescent="0.35">
      <c r="D2414"/>
      <c r="E2414"/>
    </row>
    <row r="2415" spans="4:5" ht="14.5" x14ac:dyDescent="0.35">
      <c r="D2415"/>
      <c r="E2415"/>
    </row>
    <row r="2416" spans="4:5" ht="14.5" x14ac:dyDescent="0.35">
      <c r="D2416"/>
      <c r="E2416"/>
    </row>
    <row r="2417" spans="4:5" ht="14.5" x14ac:dyDescent="0.35">
      <c r="D2417"/>
      <c r="E2417"/>
    </row>
    <row r="2418" spans="4:5" ht="14.5" x14ac:dyDescent="0.35">
      <c r="D2418"/>
      <c r="E2418"/>
    </row>
    <row r="2419" spans="4:5" ht="14.5" x14ac:dyDescent="0.35">
      <c r="D2419"/>
      <c r="E2419"/>
    </row>
    <row r="2420" spans="4:5" ht="14.5" x14ac:dyDescent="0.35">
      <c r="D2420"/>
      <c r="E2420"/>
    </row>
    <row r="2421" spans="4:5" ht="14.5" x14ac:dyDescent="0.35">
      <c r="D2421"/>
      <c r="E2421"/>
    </row>
    <row r="2422" spans="4:5" ht="14.5" x14ac:dyDescent="0.35">
      <c r="D2422"/>
      <c r="E2422"/>
    </row>
    <row r="2423" spans="4:5" ht="14.5" x14ac:dyDescent="0.35">
      <c r="D2423"/>
      <c r="E2423"/>
    </row>
    <row r="2424" spans="4:5" ht="14.5" x14ac:dyDescent="0.35">
      <c r="D2424"/>
      <c r="E2424"/>
    </row>
    <row r="2425" spans="4:5" ht="14.5" x14ac:dyDescent="0.35">
      <c r="D2425"/>
      <c r="E2425"/>
    </row>
    <row r="2426" spans="4:5" ht="14.5" x14ac:dyDescent="0.35">
      <c r="D2426"/>
      <c r="E2426"/>
    </row>
    <row r="2427" spans="4:5" ht="14.5" x14ac:dyDescent="0.35">
      <c r="D2427"/>
      <c r="E2427"/>
    </row>
    <row r="2428" spans="4:5" ht="14.5" x14ac:dyDescent="0.35">
      <c r="D2428"/>
      <c r="E2428"/>
    </row>
    <row r="2429" spans="4:5" ht="14.5" x14ac:dyDescent="0.35">
      <c r="D2429"/>
      <c r="E2429"/>
    </row>
    <row r="2430" spans="4:5" ht="14.5" x14ac:dyDescent="0.35">
      <c r="D2430"/>
      <c r="E2430"/>
    </row>
    <row r="2431" spans="4:5" ht="14.5" x14ac:dyDescent="0.35">
      <c r="D2431"/>
      <c r="E2431"/>
    </row>
    <row r="2432" spans="4:5" ht="14.5" x14ac:dyDescent="0.35">
      <c r="D2432"/>
      <c r="E2432"/>
    </row>
    <row r="2433" spans="4:5" ht="14.5" x14ac:dyDescent="0.35">
      <c r="D2433"/>
      <c r="E2433"/>
    </row>
    <row r="2434" spans="4:5" ht="14.5" x14ac:dyDescent="0.35">
      <c r="D2434"/>
      <c r="E2434"/>
    </row>
    <row r="2435" spans="4:5" ht="14.5" x14ac:dyDescent="0.35">
      <c r="D2435"/>
      <c r="E2435"/>
    </row>
    <row r="2436" spans="4:5" ht="14.5" x14ac:dyDescent="0.35">
      <c r="D2436"/>
      <c r="E2436"/>
    </row>
    <row r="2437" spans="4:5" ht="14.5" x14ac:dyDescent="0.35">
      <c r="D2437"/>
      <c r="E2437"/>
    </row>
    <row r="2438" spans="4:5" ht="14.5" x14ac:dyDescent="0.35">
      <c r="D2438"/>
      <c r="E2438"/>
    </row>
    <row r="2439" spans="4:5" ht="14.5" x14ac:dyDescent="0.35">
      <c r="D2439"/>
      <c r="E2439"/>
    </row>
    <row r="2440" spans="4:5" ht="14.5" x14ac:dyDescent="0.35">
      <c r="D2440"/>
      <c r="E2440"/>
    </row>
    <row r="2441" spans="4:5" ht="14.5" x14ac:dyDescent="0.35">
      <c r="D2441"/>
      <c r="E2441"/>
    </row>
    <row r="2442" spans="4:5" ht="14.5" x14ac:dyDescent="0.35">
      <c r="D2442"/>
      <c r="E2442"/>
    </row>
    <row r="2443" spans="4:5" ht="14.5" x14ac:dyDescent="0.35">
      <c r="D2443"/>
      <c r="E2443"/>
    </row>
    <row r="2444" spans="4:5" ht="14.5" x14ac:dyDescent="0.35">
      <c r="D2444"/>
      <c r="E2444"/>
    </row>
    <row r="2445" spans="4:5" ht="14.5" x14ac:dyDescent="0.35">
      <c r="D2445"/>
      <c r="E2445"/>
    </row>
    <row r="2446" spans="4:5" ht="14.5" x14ac:dyDescent="0.35">
      <c r="D2446"/>
      <c r="E2446"/>
    </row>
    <row r="2447" spans="4:5" ht="14.5" x14ac:dyDescent="0.35">
      <c r="D2447"/>
      <c r="E2447"/>
    </row>
    <row r="2448" spans="4:5" ht="14.5" x14ac:dyDescent="0.35">
      <c r="D2448"/>
      <c r="E2448"/>
    </row>
    <row r="2449" spans="4:5" ht="14.5" x14ac:dyDescent="0.35">
      <c r="D2449"/>
      <c r="E2449"/>
    </row>
    <row r="2450" spans="4:5" ht="14.5" x14ac:dyDescent="0.35">
      <c r="D2450"/>
      <c r="E2450"/>
    </row>
    <row r="2451" spans="4:5" ht="14.5" x14ac:dyDescent="0.35">
      <c r="D2451"/>
      <c r="E2451"/>
    </row>
    <row r="2452" spans="4:5" ht="14.5" x14ac:dyDescent="0.35">
      <c r="D2452"/>
      <c r="E2452"/>
    </row>
    <row r="2453" spans="4:5" ht="14.5" x14ac:dyDescent="0.35">
      <c r="D2453"/>
      <c r="E2453"/>
    </row>
    <row r="2454" spans="4:5" ht="14.5" x14ac:dyDescent="0.35">
      <c r="D2454"/>
      <c r="E2454"/>
    </row>
    <row r="2455" spans="4:5" ht="14.5" x14ac:dyDescent="0.35">
      <c r="D2455"/>
      <c r="E2455"/>
    </row>
    <row r="2456" spans="4:5" ht="14.5" x14ac:dyDescent="0.35">
      <c r="D2456"/>
      <c r="E2456"/>
    </row>
    <row r="2457" spans="4:5" ht="14.5" x14ac:dyDescent="0.35">
      <c r="D2457"/>
      <c r="E2457"/>
    </row>
    <row r="2458" spans="4:5" ht="14.5" x14ac:dyDescent="0.35">
      <c r="D2458"/>
      <c r="E2458"/>
    </row>
    <row r="2459" spans="4:5" ht="14.5" x14ac:dyDescent="0.35">
      <c r="D2459"/>
      <c r="E2459"/>
    </row>
    <row r="2460" spans="4:5" ht="14.5" x14ac:dyDescent="0.35">
      <c r="D2460"/>
      <c r="E2460"/>
    </row>
    <row r="2461" spans="4:5" ht="14.5" x14ac:dyDescent="0.35">
      <c r="D2461"/>
      <c r="E2461"/>
    </row>
    <row r="2462" spans="4:5" ht="14.5" x14ac:dyDescent="0.35">
      <c r="D2462"/>
      <c r="E2462"/>
    </row>
    <row r="2463" spans="4:5" ht="14.5" x14ac:dyDescent="0.35">
      <c r="D2463"/>
      <c r="E2463"/>
    </row>
    <row r="2464" spans="4:5" ht="14.5" x14ac:dyDescent="0.35">
      <c r="D2464"/>
      <c r="E2464"/>
    </row>
    <row r="2465" spans="4:5" ht="14.5" x14ac:dyDescent="0.35">
      <c r="D2465"/>
      <c r="E2465"/>
    </row>
    <row r="2466" spans="4:5" ht="14.5" x14ac:dyDescent="0.35">
      <c r="D2466"/>
      <c r="E2466"/>
    </row>
    <row r="2467" spans="4:5" ht="14.5" x14ac:dyDescent="0.35">
      <c r="D2467"/>
      <c r="E2467"/>
    </row>
    <row r="2468" spans="4:5" ht="14.5" x14ac:dyDescent="0.35">
      <c r="D2468"/>
      <c r="E2468"/>
    </row>
    <row r="2469" spans="4:5" ht="14.5" x14ac:dyDescent="0.35">
      <c r="D2469"/>
      <c r="E2469"/>
    </row>
    <row r="2470" spans="4:5" ht="14.5" x14ac:dyDescent="0.35">
      <c r="D2470"/>
      <c r="E2470"/>
    </row>
    <row r="2471" spans="4:5" ht="14.5" x14ac:dyDescent="0.35">
      <c r="D2471"/>
      <c r="E2471"/>
    </row>
    <row r="2472" spans="4:5" ht="14.5" x14ac:dyDescent="0.35">
      <c r="D2472"/>
      <c r="E2472"/>
    </row>
    <row r="2473" spans="4:5" ht="14.5" x14ac:dyDescent="0.35">
      <c r="D2473"/>
      <c r="E2473"/>
    </row>
    <row r="2474" spans="4:5" ht="14.5" x14ac:dyDescent="0.35">
      <c r="D2474"/>
      <c r="E2474"/>
    </row>
    <row r="2475" spans="4:5" ht="14.5" x14ac:dyDescent="0.35">
      <c r="D2475"/>
      <c r="E2475"/>
    </row>
    <row r="2476" spans="4:5" ht="14.5" x14ac:dyDescent="0.35">
      <c r="D2476"/>
      <c r="E2476"/>
    </row>
    <row r="2477" spans="4:5" ht="14.5" x14ac:dyDescent="0.35">
      <c r="D2477"/>
      <c r="E2477"/>
    </row>
    <row r="2478" spans="4:5" ht="14.5" x14ac:dyDescent="0.35">
      <c r="D2478"/>
      <c r="E2478"/>
    </row>
    <row r="2479" spans="4:5" ht="14.5" x14ac:dyDescent="0.35">
      <c r="D2479"/>
      <c r="E2479"/>
    </row>
    <row r="2480" spans="4:5" ht="14.5" x14ac:dyDescent="0.35">
      <c r="D2480"/>
      <c r="E2480"/>
    </row>
    <row r="2481" spans="4:5" ht="14.5" x14ac:dyDescent="0.35">
      <c r="D2481"/>
      <c r="E2481"/>
    </row>
    <row r="2482" spans="4:5" ht="14.5" x14ac:dyDescent="0.35">
      <c r="D2482"/>
      <c r="E2482"/>
    </row>
    <row r="2483" spans="4:5" ht="14.5" x14ac:dyDescent="0.35">
      <c r="D2483"/>
      <c r="E2483"/>
    </row>
    <row r="2484" spans="4:5" ht="14.5" x14ac:dyDescent="0.35">
      <c r="D2484"/>
      <c r="E2484"/>
    </row>
    <row r="2485" spans="4:5" ht="14.5" x14ac:dyDescent="0.35">
      <c r="D2485"/>
      <c r="E2485"/>
    </row>
    <row r="2486" spans="4:5" ht="14.5" x14ac:dyDescent="0.35">
      <c r="D2486"/>
      <c r="E2486"/>
    </row>
    <row r="2487" spans="4:5" ht="14.5" x14ac:dyDescent="0.35">
      <c r="D2487"/>
      <c r="E2487"/>
    </row>
    <row r="2488" spans="4:5" ht="14.5" x14ac:dyDescent="0.35">
      <c r="D2488"/>
      <c r="E2488"/>
    </row>
    <row r="2489" spans="4:5" ht="14.5" x14ac:dyDescent="0.35">
      <c r="D2489"/>
      <c r="E2489"/>
    </row>
    <row r="2490" spans="4:5" ht="14.5" x14ac:dyDescent="0.35">
      <c r="D2490"/>
      <c r="E2490"/>
    </row>
    <row r="2491" spans="4:5" ht="14.5" x14ac:dyDescent="0.35">
      <c r="D2491"/>
      <c r="E2491"/>
    </row>
    <row r="2492" spans="4:5" ht="14.5" x14ac:dyDescent="0.35">
      <c r="D2492"/>
      <c r="E2492"/>
    </row>
    <row r="2493" spans="4:5" ht="14.5" x14ac:dyDescent="0.35">
      <c r="D2493"/>
      <c r="E2493"/>
    </row>
    <row r="2494" spans="4:5" ht="14.5" x14ac:dyDescent="0.35">
      <c r="D2494"/>
      <c r="E2494"/>
    </row>
    <row r="2495" spans="4:5" ht="14.5" x14ac:dyDescent="0.35">
      <c r="D2495"/>
      <c r="E2495"/>
    </row>
    <row r="2496" spans="4:5" ht="14.5" x14ac:dyDescent="0.35">
      <c r="D2496"/>
      <c r="E2496"/>
    </row>
    <row r="2497" spans="4:5" ht="14.5" x14ac:dyDescent="0.35">
      <c r="D2497"/>
      <c r="E2497"/>
    </row>
    <row r="2498" spans="4:5" ht="14.5" x14ac:dyDescent="0.35">
      <c r="D2498"/>
      <c r="E2498"/>
    </row>
    <row r="2499" spans="4:5" ht="14.5" x14ac:dyDescent="0.35">
      <c r="D2499"/>
      <c r="E2499"/>
    </row>
    <row r="2500" spans="4:5" ht="14.5" x14ac:dyDescent="0.35">
      <c r="D2500"/>
      <c r="E2500"/>
    </row>
    <row r="2501" spans="4:5" ht="14.5" x14ac:dyDescent="0.35">
      <c r="D2501"/>
      <c r="E2501"/>
    </row>
    <row r="2502" spans="4:5" ht="14.5" x14ac:dyDescent="0.35">
      <c r="D2502"/>
      <c r="E2502"/>
    </row>
    <row r="2503" spans="4:5" ht="14.5" x14ac:dyDescent="0.35">
      <c r="D2503"/>
      <c r="E2503"/>
    </row>
    <row r="2504" spans="4:5" ht="14.5" x14ac:dyDescent="0.35">
      <c r="D2504"/>
      <c r="E2504"/>
    </row>
    <row r="2505" spans="4:5" ht="14.5" x14ac:dyDescent="0.35">
      <c r="D2505"/>
      <c r="E2505"/>
    </row>
    <row r="2506" spans="4:5" ht="14.5" x14ac:dyDescent="0.35">
      <c r="D2506"/>
      <c r="E2506"/>
    </row>
    <row r="2507" spans="4:5" ht="14.5" x14ac:dyDescent="0.35">
      <c r="D2507"/>
      <c r="E2507"/>
    </row>
    <row r="2508" spans="4:5" ht="14.5" x14ac:dyDescent="0.35">
      <c r="D2508"/>
      <c r="E2508"/>
    </row>
    <row r="2509" spans="4:5" ht="14.5" x14ac:dyDescent="0.35">
      <c r="D2509"/>
      <c r="E2509"/>
    </row>
    <row r="2510" spans="4:5" ht="14.5" x14ac:dyDescent="0.35">
      <c r="D2510"/>
      <c r="E2510"/>
    </row>
    <row r="2511" spans="4:5" ht="14.5" x14ac:dyDescent="0.35">
      <c r="D2511"/>
      <c r="E2511"/>
    </row>
    <row r="2512" spans="4:5" ht="14.5" x14ac:dyDescent="0.35">
      <c r="D2512"/>
      <c r="E2512"/>
    </row>
    <row r="2513" spans="4:5" ht="14.5" x14ac:dyDescent="0.35">
      <c r="D2513"/>
      <c r="E2513"/>
    </row>
    <row r="2514" spans="4:5" ht="14.5" x14ac:dyDescent="0.35">
      <c r="D2514"/>
      <c r="E2514"/>
    </row>
    <row r="2515" spans="4:5" ht="14.5" x14ac:dyDescent="0.35">
      <c r="D2515"/>
      <c r="E2515"/>
    </row>
    <row r="2516" spans="4:5" ht="14.5" x14ac:dyDescent="0.35">
      <c r="D2516"/>
      <c r="E2516"/>
    </row>
    <row r="2517" spans="4:5" ht="14.5" x14ac:dyDescent="0.35">
      <c r="D2517"/>
      <c r="E2517"/>
    </row>
    <row r="2518" spans="4:5" ht="14.5" x14ac:dyDescent="0.35">
      <c r="D2518"/>
      <c r="E2518"/>
    </row>
    <row r="2519" spans="4:5" ht="14.5" x14ac:dyDescent="0.35">
      <c r="D2519"/>
      <c r="E2519"/>
    </row>
    <row r="2520" spans="4:5" ht="14.5" x14ac:dyDescent="0.35">
      <c r="D2520"/>
      <c r="E2520"/>
    </row>
    <row r="2521" spans="4:5" ht="14.5" x14ac:dyDescent="0.35">
      <c r="D2521"/>
      <c r="E2521"/>
    </row>
    <row r="2522" spans="4:5" ht="14.5" x14ac:dyDescent="0.35">
      <c r="D2522"/>
      <c r="E2522"/>
    </row>
    <row r="2523" spans="4:5" ht="14.5" x14ac:dyDescent="0.35">
      <c r="D2523"/>
      <c r="E2523"/>
    </row>
    <row r="2524" spans="4:5" ht="14.5" x14ac:dyDescent="0.35">
      <c r="D2524"/>
      <c r="E2524"/>
    </row>
    <row r="2525" spans="4:5" ht="14.5" x14ac:dyDescent="0.35">
      <c r="D2525"/>
      <c r="E2525"/>
    </row>
    <row r="2526" spans="4:5" ht="14.5" x14ac:dyDescent="0.35">
      <c r="D2526"/>
      <c r="E2526"/>
    </row>
    <row r="2527" spans="4:5" ht="14.5" x14ac:dyDescent="0.35">
      <c r="D2527"/>
      <c r="E2527"/>
    </row>
    <row r="2528" spans="4:5" ht="14.5" x14ac:dyDescent="0.35">
      <c r="D2528"/>
      <c r="E2528"/>
    </row>
    <row r="2529" spans="4:5" ht="14.5" x14ac:dyDescent="0.35">
      <c r="D2529"/>
      <c r="E2529"/>
    </row>
    <row r="2530" spans="4:5" ht="14.5" x14ac:dyDescent="0.35">
      <c r="D2530"/>
      <c r="E2530"/>
    </row>
    <row r="2531" spans="4:5" ht="14.5" x14ac:dyDescent="0.35">
      <c r="D2531"/>
      <c r="E2531"/>
    </row>
    <row r="2532" spans="4:5" ht="14.5" x14ac:dyDescent="0.35">
      <c r="D2532"/>
      <c r="E2532"/>
    </row>
    <row r="2533" spans="4:5" ht="14.5" x14ac:dyDescent="0.35">
      <c r="D2533"/>
      <c r="E2533"/>
    </row>
    <row r="2534" spans="4:5" ht="14.5" x14ac:dyDescent="0.35">
      <c r="D2534"/>
      <c r="E2534"/>
    </row>
    <row r="2535" spans="4:5" ht="14.5" x14ac:dyDescent="0.35">
      <c r="D2535"/>
      <c r="E2535"/>
    </row>
    <row r="2536" spans="4:5" ht="14.5" x14ac:dyDescent="0.35">
      <c r="D2536"/>
      <c r="E2536"/>
    </row>
    <row r="2537" spans="4:5" ht="14.5" x14ac:dyDescent="0.35">
      <c r="D2537"/>
      <c r="E2537"/>
    </row>
    <row r="2538" spans="4:5" ht="14.5" x14ac:dyDescent="0.35">
      <c r="D2538"/>
      <c r="E2538"/>
    </row>
    <row r="2539" spans="4:5" ht="14.5" x14ac:dyDescent="0.35">
      <c r="D2539"/>
      <c r="E2539"/>
    </row>
    <row r="2540" spans="4:5" ht="14.5" x14ac:dyDescent="0.35">
      <c r="D2540"/>
      <c r="E2540"/>
    </row>
    <row r="2541" spans="4:5" ht="14.5" x14ac:dyDescent="0.35">
      <c r="D2541"/>
      <c r="E2541"/>
    </row>
    <row r="2542" spans="4:5" ht="14.5" x14ac:dyDescent="0.35">
      <c r="D2542"/>
      <c r="E2542"/>
    </row>
    <row r="2543" spans="4:5" ht="14.5" x14ac:dyDescent="0.35">
      <c r="D2543"/>
      <c r="E2543"/>
    </row>
    <row r="2544" spans="4:5" ht="14.5" x14ac:dyDescent="0.35">
      <c r="D2544"/>
      <c r="E2544"/>
    </row>
    <row r="2545" spans="4:5" ht="14.5" x14ac:dyDescent="0.35">
      <c r="D2545"/>
      <c r="E2545"/>
    </row>
    <row r="2546" spans="4:5" ht="14.5" x14ac:dyDescent="0.35">
      <c r="D2546"/>
      <c r="E2546"/>
    </row>
    <row r="2547" spans="4:5" ht="14.5" x14ac:dyDescent="0.35">
      <c r="D2547"/>
      <c r="E2547"/>
    </row>
    <row r="2548" spans="4:5" ht="14.5" x14ac:dyDescent="0.35">
      <c r="D2548"/>
      <c r="E2548"/>
    </row>
    <row r="2549" spans="4:5" ht="14.5" x14ac:dyDescent="0.35">
      <c r="D2549"/>
      <c r="E2549"/>
    </row>
    <row r="2550" spans="4:5" ht="14.5" x14ac:dyDescent="0.35">
      <c r="D2550"/>
      <c r="E2550"/>
    </row>
    <row r="2551" spans="4:5" ht="14.5" x14ac:dyDescent="0.35">
      <c r="D2551"/>
      <c r="E2551"/>
    </row>
    <row r="2552" spans="4:5" ht="14.5" x14ac:dyDescent="0.35">
      <c r="D2552"/>
      <c r="E2552"/>
    </row>
    <row r="2553" spans="4:5" ht="14.5" x14ac:dyDescent="0.35">
      <c r="D2553"/>
      <c r="E2553"/>
    </row>
    <row r="2554" spans="4:5" ht="14.5" x14ac:dyDescent="0.35">
      <c r="D2554"/>
      <c r="E2554"/>
    </row>
    <row r="2555" spans="4:5" ht="14.5" x14ac:dyDescent="0.35">
      <c r="D2555"/>
      <c r="E2555"/>
    </row>
    <row r="2556" spans="4:5" ht="14.5" x14ac:dyDescent="0.35">
      <c r="D2556"/>
      <c r="E2556"/>
    </row>
    <row r="2557" spans="4:5" ht="14.5" x14ac:dyDescent="0.35">
      <c r="D2557"/>
      <c r="E2557"/>
    </row>
    <row r="2558" spans="4:5" ht="14.5" x14ac:dyDescent="0.35">
      <c r="D2558"/>
      <c r="E2558"/>
    </row>
    <row r="2559" spans="4:5" ht="14.5" x14ac:dyDescent="0.35">
      <c r="D2559"/>
      <c r="E2559"/>
    </row>
    <row r="2560" spans="4:5" ht="14.5" x14ac:dyDescent="0.35">
      <c r="D2560"/>
      <c r="E2560"/>
    </row>
    <row r="2561" spans="4:5" ht="14.5" x14ac:dyDescent="0.35">
      <c r="D2561"/>
      <c r="E2561"/>
    </row>
    <row r="2562" spans="4:5" ht="14.5" x14ac:dyDescent="0.35">
      <c r="D2562"/>
      <c r="E2562"/>
    </row>
    <row r="2563" spans="4:5" ht="14.5" x14ac:dyDescent="0.35">
      <c r="D2563"/>
      <c r="E2563"/>
    </row>
    <row r="2564" spans="4:5" ht="14.5" x14ac:dyDescent="0.35">
      <c r="D2564"/>
      <c r="E2564"/>
    </row>
    <row r="2565" spans="4:5" ht="14.5" x14ac:dyDescent="0.35">
      <c r="D2565"/>
      <c r="E2565"/>
    </row>
    <row r="2566" spans="4:5" ht="14.5" x14ac:dyDescent="0.35">
      <c r="D2566"/>
      <c r="E2566"/>
    </row>
    <row r="2567" spans="4:5" ht="14.5" x14ac:dyDescent="0.35">
      <c r="D2567"/>
      <c r="E2567"/>
    </row>
    <row r="2568" spans="4:5" ht="14.5" x14ac:dyDescent="0.35">
      <c r="D2568"/>
      <c r="E2568"/>
    </row>
    <row r="2569" spans="4:5" ht="14.5" x14ac:dyDescent="0.35">
      <c r="D2569"/>
      <c r="E2569"/>
    </row>
    <row r="2570" spans="4:5" ht="14.5" x14ac:dyDescent="0.35">
      <c r="D2570"/>
      <c r="E2570"/>
    </row>
    <row r="2571" spans="4:5" ht="14.5" x14ac:dyDescent="0.35">
      <c r="D2571"/>
      <c r="E2571"/>
    </row>
    <row r="2572" spans="4:5" ht="14.5" x14ac:dyDescent="0.35">
      <c r="D2572"/>
      <c r="E2572"/>
    </row>
    <row r="2573" spans="4:5" ht="14.5" x14ac:dyDescent="0.35">
      <c r="D2573"/>
      <c r="E2573"/>
    </row>
    <row r="2574" spans="4:5" ht="14.5" x14ac:dyDescent="0.35">
      <c r="D2574"/>
      <c r="E2574"/>
    </row>
    <row r="2575" spans="4:5" ht="14.5" x14ac:dyDescent="0.35">
      <c r="D2575"/>
      <c r="E2575"/>
    </row>
    <row r="2576" spans="4:5" ht="14.5" x14ac:dyDescent="0.35">
      <c r="D2576"/>
      <c r="E2576"/>
    </row>
    <row r="2577" spans="4:5" ht="14.5" x14ac:dyDescent="0.35">
      <c r="D2577"/>
      <c r="E2577"/>
    </row>
    <row r="2578" spans="4:5" ht="14.5" x14ac:dyDescent="0.35">
      <c r="D2578"/>
      <c r="E2578"/>
    </row>
    <row r="2579" spans="4:5" ht="14.5" x14ac:dyDescent="0.35">
      <c r="D2579"/>
      <c r="E2579"/>
    </row>
    <row r="2580" spans="4:5" ht="14.5" x14ac:dyDescent="0.35">
      <c r="D2580"/>
      <c r="E2580"/>
    </row>
    <row r="2581" spans="4:5" ht="14.5" x14ac:dyDescent="0.35">
      <c r="D2581"/>
      <c r="E2581"/>
    </row>
    <row r="2582" spans="4:5" ht="14.5" x14ac:dyDescent="0.35">
      <c r="D2582"/>
      <c r="E2582"/>
    </row>
    <row r="2583" spans="4:5" ht="14.5" x14ac:dyDescent="0.35">
      <c r="D2583"/>
      <c r="E2583"/>
    </row>
    <row r="2584" spans="4:5" ht="14.5" x14ac:dyDescent="0.35">
      <c r="D2584"/>
      <c r="E2584"/>
    </row>
    <row r="2585" spans="4:5" ht="14.5" x14ac:dyDescent="0.35">
      <c r="D2585"/>
      <c r="E2585"/>
    </row>
    <row r="2586" spans="4:5" ht="14.5" x14ac:dyDescent="0.35">
      <c r="D2586"/>
      <c r="E2586"/>
    </row>
    <row r="2587" spans="4:5" ht="14.5" x14ac:dyDescent="0.35">
      <c r="D2587"/>
      <c r="E2587"/>
    </row>
    <row r="2588" spans="4:5" ht="14.5" x14ac:dyDescent="0.35">
      <c r="D2588"/>
      <c r="E2588"/>
    </row>
    <row r="2589" spans="4:5" ht="14.5" x14ac:dyDescent="0.35">
      <c r="D2589"/>
      <c r="E2589"/>
    </row>
    <row r="2590" spans="4:5" ht="14.5" x14ac:dyDescent="0.35">
      <c r="D2590"/>
      <c r="E2590"/>
    </row>
    <row r="2591" spans="4:5" ht="14.5" x14ac:dyDescent="0.35">
      <c r="D2591"/>
      <c r="E2591"/>
    </row>
    <row r="2592" spans="4:5" ht="14.5" x14ac:dyDescent="0.35">
      <c r="D2592"/>
      <c r="E2592"/>
    </row>
    <row r="2593" spans="4:5" ht="14.5" x14ac:dyDescent="0.35">
      <c r="D2593"/>
      <c r="E2593"/>
    </row>
    <row r="2594" spans="4:5" ht="14.5" x14ac:dyDescent="0.35">
      <c r="D2594"/>
      <c r="E2594"/>
    </row>
    <row r="2595" spans="4:5" ht="14.5" x14ac:dyDescent="0.35">
      <c r="D2595"/>
      <c r="E2595"/>
    </row>
    <row r="2596" spans="4:5" ht="14.5" x14ac:dyDescent="0.35">
      <c r="D2596"/>
      <c r="E2596"/>
    </row>
    <row r="2597" spans="4:5" ht="14.5" x14ac:dyDescent="0.35">
      <c r="D2597"/>
      <c r="E2597"/>
    </row>
    <row r="2598" spans="4:5" ht="14.5" x14ac:dyDescent="0.35">
      <c r="D2598"/>
      <c r="E2598"/>
    </row>
    <row r="2599" spans="4:5" ht="14.5" x14ac:dyDescent="0.35">
      <c r="D2599"/>
      <c r="E2599"/>
    </row>
    <row r="2600" spans="4:5" ht="14.5" x14ac:dyDescent="0.35">
      <c r="D2600"/>
      <c r="E2600"/>
    </row>
    <row r="2601" spans="4:5" ht="14.5" x14ac:dyDescent="0.35">
      <c r="D2601"/>
      <c r="E2601"/>
    </row>
    <row r="2602" spans="4:5" ht="14.5" x14ac:dyDescent="0.35">
      <c r="D2602"/>
      <c r="E2602"/>
    </row>
    <row r="2603" spans="4:5" ht="14.5" x14ac:dyDescent="0.35">
      <c r="D2603"/>
      <c r="E2603"/>
    </row>
    <row r="2604" spans="4:5" ht="14.5" x14ac:dyDescent="0.35">
      <c r="D2604"/>
      <c r="E2604"/>
    </row>
    <row r="2605" spans="4:5" ht="14.5" x14ac:dyDescent="0.35">
      <c r="D2605"/>
      <c r="E2605"/>
    </row>
    <row r="2606" spans="4:5" ht="14.5" x14ac:dyDescent="0.35">
      <c r="D2606"/>
      <c r="E2606"/>
    </row>
    <row r="2607" spans="4:5" ht="14.5" x14ac:dyDescent="0.35">
      <c r="D2607"/>
      <c r="E2607"/>
    </row>
    <row r="2608" spans="4:5" ht="14.5" x14ac:dyDescent="0.35">
      <c r="D2608"/>
      <c r="E2608"/>
    </row>
    <row r="2609" spans="4:5" ht="14.5" x14ac:dyDescent="0.35">
      <c r="D2609"/>
      <c r="E2609"/>
    </row>
    <row r="2610" spans="4:5" ht="14.5" x14ac:dyDescent="0.35">
      <c r="D2610"/>
      <c r="E2610"/>
    </row>
    <row r="2611" spans="4:5" ht="14.5" x14ac:dyDescent="0.35">
      <c r="D2611"/>
      <c r="E2611"/>
    </row>
    <row r="2612" spans="4:5" ht="14.5" x14ac:dyDescent="0.35">
      <c r="D2612"/>
      <c r="E2612"/>
    </row>
    <row r="2613" spans="4:5" ht="14.5" x14ac:dyDescent="0.35">
      <c r="D2613"/>
      <c r="E2613"/>
    </row>
    <row r="2614" spans="4:5" ht="14.5" x14ac:dyDescent="0.35">
      <c r="D2614"/>
      <c r="E2614"/>
    </row>
    <row r="2615" spans="4:5" ht="14.5" x14ac:dyDescent="0.35">
      <c r="D2615"/>
      <c r="E2615"/>
    </row>
    <row r="2616" spans="4:5" ht="14.5" x14ac:dyDescent="0.35">
      <c r="D2616"/>
      <c r="E2616"/>
    </row>
    <row r="2617" spans="4:5" ht="14.5" x14ac:dyDescent="0.35">
      <c r="D2617"/>
      <c r="E2617"/>
    </row>
    <row r="2618" spans="4:5" ht="14.5" x14ac:dyDescent="0.35">
      <c r="D2618"/>
      <c r="E2618"/>
    </row>
    <row r="2619" spans="4:5" ht="14.5" x14ac:dyDescent="0.35">
      <c r="D2619"/>
      <c r="E2619"/>
    </row>
    <row r="2620" spans="4:5" ht="14.5" x14ac:dyDescent="0.35">
      <c r="D2620"/>
      <c r="E2620"/>
    </row>
    <row r="2621" spans="4:5" ht="14.5" x14ac:dyDescent="0.35">
      <c r="D2621"/>
      <c r="E2621"/>
    </row>
    <row r="2622" spans="4:5" ht="14.5" x14ac:dyDescent="0.35">
      <c r="D2622"/>
      <c r="E2622"/>
    </row>
    <row r="2623" spans="4:5" ht="14.5" x14ac:dyDescent="0.35">
      <c r="D2623"/>
      <c r="E2623"/>
    </row>
    <row r="2624" spans="4:5" ht="14.5" x14ac:dyDescent="0.35">
      <c r="D2624"/>
      <c r="E2624"/>
    </row>
    <row r="2625" spans="4:5" ht="14.5" x14ac:dyDescent="0.35">
      <c r="D2625"/>
      <c r="E2625"/>
    </row>
    <row r="2626" spans="4:5" ht="14.5" x14ac:dyDescent="0.35">
      <c r="D2626"/>
      <c r="E2626"/>
    </row>
    <row r="2627" spans="4:5" ht="14.5" x14ac:dyDescent="0.35">
      <c r="D2627"/>
      <c r="E2627"/>
    </row>
    <row r="2628" spans="4:5" ht="14.5" x14ac:dyDescent="0.35">
      <c r="D2628"/>
      <c r="E2628"/>
    </row>
    <row r="2629" spans="4:5" ht="14.5" x14ac:dyDescent="0.35">
      <c r="D2629"/>
      <c r="E2629"/>
    </row>
    <row r="2630" spans="4:5" ht="14.5" x14ac:dyDescent="0.35">
      <c r="D2630"/>
      <c r="E2630"/>
    </row>
    <row r="2631" spans="4:5" ht="14.5" x14ac:dyDescent="0.35">
      <c r="D2631"/>
      <c r="E2631"/>
    </row>
    <row r="2632" spans="4:5" ht="14.5" x14ac:dyDescent="0.35">
      <c r="D2632"/>
      <c r="E2632"/>
    </row>
    <row r="2633" spans="4:5" ht="14.5" x14ac:dyDescent="0.35">
      <c r="D2633"/>
      <c r="E2633"/>
    </row>
    <row r="2634" spans="4:5" ht="14.5" x14ac:dyDescent="0.35">
      <c r="D2634"/>
      <c r="E2634"/>
    </row>
    <row r="2635" spans="4:5" ht="14.5" x14ac:dyDescent="0.35">
      <c r="D2635"/>
      <c r="E2635"/>
    </row>
    <row r="2636" spans="4:5" ht="14.5" x14ac:dyDescent="0.35">
      <c r="D2636"/>
      <c r="E2636"/>
    </row>
    <row r="2637" spans="4:5" ht="14.5" x14ac:dyDescent="0.35">
      <c r="D2637"/>
      <c r="E2637"/>
    </row>
    <row r="2638" spans="4:5" ht="14.5" x14ac:dyDescent="0.35">
      <c r="D2638"/>
      <c r="E2638"/>
    </row>
    <row r="2639" spans="4:5" ht="14.5" x14ac:dyDescent="0.35">
      <c r="D2639"/>
      <c r="E2639"/>
    </row>
    <row r="2640" spans="4:5" ht="14.5" x14ac:dyDescent="0.35">
      <c r="D2640"/>
      <c r="E2640"/>
    </row>
    <row r="2641" spans="4:5" ht="14.5" x14ac:dyDescent="0.35">
      <c r="D2641"/>
      <c r="E2641"/>
    </row>
    <row r="2642" spans="4:5" ht="14.5" x14ac:dyDescent="0.35">
      <c r="D2642"/>
      <c r="E2642"/>
    </row>
    <row r="2643" spans="4:5" ht="14.5" x14ac:dyDescent="0.35">
      <c r="D2643"/>
      <c r="E2643"/>
    </row>
    <row r="2644" spans="4:5" ht="14.5" x14ac:dyDescent="0.35">
      <c r="D2644"/>
      <c r="E2644"/>
    </row>
    <row r="2645" spans="4:5" ht="14.5" x14ac:dyDescent="0.35">
      <c r="D2645"/>
      <c r="E2645"/>
    </row>
    <row r="2646" spans="4:5" ht="14.5" x14ac:dyDescent="0.35">
      <c r="D2646"/>
      <c r="E2646"/>
    </row>
    <row r="2647" spans="4:5" ht="14.5" x14ac:dyDescent="0.35">
      <c r="D2647"/>
      <c r="E2647"/>
    </row>
    <row r="2648" spans="4:5" ht="14.5" x14ac:dyDescent="0.35">
      <c r="D2648"/>
      <c r="E2648"/>
    </row>
    <row r="2649" spans="4:5" ht="14.5" x14ac:dyDescent="0.35">
      <c r="D2649"/>
      <c r="E2649"/>
    </row>
    <row r="2650" spans="4:5" ht="14.5" x14ac:dyDescent="0.35">
      <c r="D2650"/>
      <c r="E2650"/>
    </row>
    <row r="2651" spans="4:5" ht="14.5" x14ac:dyDescent="0.35">
      <c r="D2651"/>
      <c r="E2651"/>
    </row>
    <row r="2652" spans="4:5" ht="14.5" x14ac:dyDescent="0.35">
      <c r="D2652"/>
      <c r="E2652"/>
    </row>
    <row r="2653" spans="4:5" ht="14.5" x14ac:dyDescent="0.35">
      <c r="D2653"/>
      <c r="E2653"/>
    </row>
    <row r="2654" spans="4:5" ht="14.5" x14ac:dyDescent="0.35">
      <c r="D2654"/>
      <c r="E2654"/>
    </row>
    <row r="2655" spans="4:5" ht="14.5" x14ac:dyDescent="0.35">
      <c r="D2655"/>
      <c r="E2655"/>
    </row>
    <row r="2656" spans="4:5" ht="14.5" x14ac:dyDescent="0.35">
      <c r="D2656"/>
      <c r="E2656"/>
    </row>
    <row r="2657" spans="4:5" ht="14.5" x14ac:dyDescent="0.35">
      <c r="D2657"/>
      <c r="E2657"/>
    </row>
    <row r="2658" spans="4:5" ht="14.5" x14ac:dyDescent="0.35">
      <c r="D2658"/>
      <c r="E2658"/>
    </row>
    <row r="2659" spans="4:5" ht="14.5" x14ac:dyDescent="0.35">
      <c r="D2659"/>
      <c r="E2659"/>
    </row>
    <row r="2660" spans="4:5" ht="14.5" x14ac:dyDescent="0.35">
      <c r="D2660"/>
      <c r="E2660"/>
    </row>
    <row r="2661" spans="4:5" ht="14.5" x14ac:dyDescent="0.35">
      <c r="D2661"/>
      <c r="E2661"/>
    </row>
    <row r="2662" spans="4:5" ht="14.5" x14ac:dyDescent="0.35">
      <c r="D2662"/>
      <c r="E2662"/>
    </row>
    <row r="2663" spans="4:5" ht="14.5" x14ac:dyDescent="0.35">
      <c r="D2663"/>
      <c r="E2663"/>
    </row>
    <row r="2664" spans="4:5" ht="14.5" x14ac:dyDescent="0.35">
      <c r="D2664"/>
      <c r="E2664"/>
    </row>
    <row r="2665" spans="4:5" ht="14.5" x14ac:dyDescent="0.35">
      <c r="D2665"/>
      <c r="E2665"/>
    </row>
    <row r="2666" spans="4:5" ht="14.5" x14ac:dyDescent="0.35">
      <c r="D2666"/>
      <c r="E2666"/>
    </row>
    <row r="2667" spans="4:5" ht="14.5" x14ac:dyDescent="0.35">
      <c r="D2667"/>
      <c r="E2667"/>
    </row>
    <row r="2668" spans="4:5" ht="14.5" x14ac:dyDescent="0.35">
      <c r="D2668"/>
      <c r="E2668"/>
    </row>
    <row r="2669" spans="4:5" ht="14.5" x14ac:dyDescent="0.35">
      <c r="D2669"/>
      <c r="E2669"/>
    </row>
    <row r="2670" spans="4:5" ht="14.5" x14ac:dyDescent="0.35">
      <c r="D2670"/>
      <c r="E2670"/>
    </row>
    <row r="2671" spans="4:5" ht="14.5" x14ac:dyDescent="0.35">
      <c r="D2671"/>
      <c r="E2671"/>
    </row>
    <row r="2672" spans="4:5" ht="14.5" x14ac:dyDescent="0.35">
      <c r="D2672"/>
      <c r="E2672"/>
    </row>
    <row r="2673" spans="4:5" ht="14.5" x14ac:dyDescent="0.35">
      <c r="D2673"/>
      <c r="E2673"/>
    </row>
    <row r="2674" spans="4:5" ht="14.5" x14ac:dyDescent="0.35">
      <c r="D2674"/>
      <c r="E2674"/>
    </row>
    <row r="2675" spans="4:5" ht="14.5" x14ac:dyDescent="0.35">
      <c r="D2675"/>
      <c r="E2675"/>
    </row>
    <row r="2676" spans="4:5" ht="14.5" x14ac:dyDescent="0.35">
      <c r="D2676"/>
      <c r="E2676"/>
    </row>
    <row r="2677" spans="4:5" ht="14.5" x14ac:dyDescent="0.35">
      <c r="D2677"/>
      <c r="E2677"/>
    </row>
    <row r="2678" spans="4:5" ht="14.5" x14ac:dyDescent="0.35">
      <c r="D2678"/>
      <c r="E2678"/>
    </row>
    <row r="2679" spans="4:5" ht="14.5" x14ac:dyDescent="0.35">
      <c r="D2679"/>
      <c r="E2679"/>
    </row>
    <row r="2680" spans="4:5" ht="14.5" x14ac:dyDescent="0.35">
      <c r="D2680"/>
      <c r="E2680"/>
    </row>
    <row r="2681" spans="4:5" ht="14.5" x14ac:dyDescent="0.35">
      <c r="D2681"/>
      <c r="E2681"/>
    </row>
    <row r="2682" spans="4:5" ht="14.5" x14ac:dyDescent="0.35">
      <c r="D2682"/>
      <c r="E2682"/>
    </row>
    <row r="2683" spans="4:5" ht="14.5" x14ac:dyDescent="0.35">
      <c r="D2683"/>
      <c r="E2683"/>
    </row>
    <row r="2684" spans="4:5" ht="14.5" x14ac:dyDescent="0.35">
      <c r="D2684"/>
      <c r="E2684"/>
    </row>
    <row r="2685" spans="4:5" ht="14.5" x14ac:dyDescent="0.35">
      <c r="D2685"/>
      <c r="E2685"/>
    </row>
    <row r="2686" spans="4:5" ht="14.5" x14ac:dyDescent="0.35">
      <c r="D2686"/>
      <c r="E2686"/>
    </row>
    <row r="2687" spans="4:5" ht="14.5" x14ac:dyDescent="0.35">
      <c r="D2687"/>
      <c r="E2687"/>
    </row>
    <row r="2688" spans="4:5" ht="14.5" x14ac:dyDescent="0.35">
      <c r="D2688"/>
      <c r="E2688"/>
    </row>
    <row r="2689" spans="4:5" ht="14.5" x14ac:dyDescent="0.35">
      <c r="D2689"/>
      <c r="E2689"/>
    </row>
    <row r="2690" spans="4:5" ht="14.5" x14ac:dyDescent="0.35">
      <c r="D2690"/>
      <c r="E2690"/>
    </row>
    <row r="2691" spans="4:5" ht="14.5" x14ac:dyDescent="0.35">
      <c r="D2691"/>
      <c r="E2691"/>
    </row>
    <row r="2692" spans="4:5" ht="14.5" x14ac:dyDescent="0.35">
      <c r="D2692"/>
      <c r="E2692"/>
    </row>
    <row r="2693" spans="4:5" ht="14.5" x14ac:dyDescent="0.35">
      <c r="D2693"/>
      <c r="E2693"/>
    </row>
    <row r="2694" spans="4:5" ht="14.5" x14ac:dyDescent="0.35">
      <c r="D2694"/>
      <c r="E2694"/>
    </row>
    <row r="2695" spans="4:5" ht="14.5" x14ac:dyDescent="0.35">
      <c r="D2695"/>
      <c r="E2695"/>
    </row>
    <row r="2696" spans="4:5" ht="14.5" x14ac:dyDescent="0.35">
      <c r="D2696"/>
      <c r="E2696"/>
    </row>
    <row r="2697" spans="4:5" ht="14.5" x14ac:dyDescent="0.35">
      <c r="D2697"/>
      <c r="E2697"/>
    </row>
    <row r="2698" spans="4:5" ht="14.5" x14ac:dyDescent="0.35">
      <c r="D2698"/>
      <c r="E2698"/>
    </row>
    <row r="2699" spans="4:5" ht="14.5" x14ac:dyDescent="0.35">
      <c r="D2699"/>
      <c r="E2699"/>
    </row>
    <row r="2700" spans="4:5" ht="14.5" x14ac:dyDescent="0.35">
      <c r="D2700"/>
      <c r="E2700"/>
    </row>
    <row r="2701" spans="4:5" ht="14.5" x14ac:dyDescent="0.35">
      <c r="D2701"/>
      <c r="E2701"/>
    </row>
    <row r="2702" spans="4:5" ht="14.5" x14ac:dyDescent="0.35">
      <c r="D2702"/>
      <c r="E2702"/>
    </row>
    <row r="2703" spans="4:5" ht="14.5" x14ac:dyDescent="0.35">
      <c r="D2703"/>
      <c r="E2703"/>
    </row>
    <row r="2704" spans="4:5" ht="14.5" x14ac:dyDescent="0.35">
      <c r="D2704"/>
      <c r="E2704"/>
    </row>
    <row r="2705" spans="4:5" ht="14.5" x14ac:dyDescent="0.35">
      <c r="D2705"/>
      <c r="E2705"/>
    </row>
    <row r="2706" spans="4:5" ht="14.5" x14ac:dyDescent="0.35">
      <c r="D2706"/>
      <c r="E2706"/>
    </row>
    <row r="2707" spans="4:5" ht="14.5" x14ac:dyDescent="0.35">
      <c r="D2707"/>
      <c r="E2707"/>
    </row>
    <row r="2708" spans="4:5" ht="14.5" x14ac:dyDescent="0.35">
      <c r="D2708"/>
      <c r="E2708"/>
    </row>
    <row r="2709" spans="4:5" ht="14.5" x14ac:dyDescent="0.35">
      <c r="D2709"/>
      <c r="E2709"/>
    </row>
    <row r="2710" spans="4:5" ht="14.5" x14ac:dyDescent="0.35">
      <c r="D2710"/>
      <c r="E2710"/>
    </row>
    <row r="2711" spans="4:5" ht="14.5" x14ac:dyDescent="0.35">
      <c r="D2711"/>
      <c r="E2711"/>
    </row>
    <row r="2712" spans="4:5" ht="14.5" x14ac:dyDescent="0.35">
      <c r="D2712"/>
      <c r="E2712"/>
    </row>
    <row r="2713" spans="4:5" ht="14.5" x14ac:dyDescent="0.35">
      <c r="D2713"/>
      <c r="E2713"/>
    </row>
    <row r="2714" spans="4:5" ht="14.5" x14ac:dyDescent="0.35">
      <c r="D2714"/>
      <c r="E2714"/>
    </row>
    <row r="2715" spans="4:5" ht="14.5" x14ac:dyDescent="0.35">
      <c r="D2715"/>
      <c r="E2715"/>
    </row>
    <row r="2716" spans="4:5" ht="14.5" x14ac:dyDescent="0.35">
      <c r="D2716"/>
      <c r="E2716"/>
    </row>
    <row r="2717" spans="4:5" ht="14.5" x14ac:dyDescent="0.35">
      <c r="D2717"/>
      <c r="E2717"/>
    </row>
    <row r="2718" spans="4:5" ht="14.5" x14ac:dyDescent="0.35">
      <c r="D2718"/>
      <c r="E2718"/>
    </row>
    <row r="2719" spans="4:5" ht="14.5" x14ac:dyDescent="0.35">
      <c r="D2719"/>
      <c r="E2719"/>
    </row>
    <row r="2720" spans="4:5" ht="14.5" x14ac:dyDescent="0.35">
      <c r="D2720"/>
      <c r="E2720"/>
    </row>
    <row r="2721" spans="4:5" ht="14.5" x14ac:dyDescent="0.35">
      <c r="D2721"/>
      <c r="E2721"/>
    </row>
    <row r="2722" spans="4:5" ht="14.5" x14ac:dyDescent="0.35">
      <c r="D2722"/>
      <c r="E2722"/>
    </row>
    <row r="2723" spans="4:5" ht="14.5" x14ac:dyDescent="0.35">
      <c r="D2723"/>
      <c r="E2723"/>
    </row>
    <row r="2724" spans="4:5" ht="14.5" x14ac:dyDescent="0.35">
      <c r="D2724"/>
      <c r="E2724"/>
    </row>
    <row r="2725" spans="4:5" ht="14.5" x14ac:dyDescent="0.35">
      <c r="D2725"/>
      <c r="E2725"/>
    </row>
    <row r="2726" spans="4:5" ht="14.5" x14ac:dyDescent="0.35">
      <c r="D2726"/>
      <c r="E2726"/>
    </row>
    <row r="2727" spans="4:5" ht="14.5" x14ac:dyDescent="0.35">
      <c r="D2727"/>
      <c r="E2727"/>
    </row>
    <row r="2728" spans="4:5" ht="14.5" x14ac:dyDescent="0.35">
      <c r="D2728"/>
      <c r="E2728"/>
    </row>
    <row r="2729" spans="4:5" ht="14.5" x14ac:dyDescent="0.35">
      <c r="D2729"/>
      <c r="E2729"/>
    </row>
    <row r="2730" spans="4:5" ht="14.5" x14ac:dyDescent="0.35">
      <c r="D2730"/>
      <c r="E2730"/>
    </row>
    <row r="2731" spans="4:5" ht="14.5" x14ac:dyDescent="0.35">
      <c r="D2731"/>
      <c r="E2731"/>
    </row>
    <row r="2732" spans="4:5" ht="14.5" x14ac:dyDescent="0.35">
      <c r="D2732"/>
      <c r="E2732"/>
    </row>
    <row r="2733" spans="4:5" ht="14.5" x14ac:dyDescent="0.35">
      <c r="D2733"/>
      <c r="E2733"/>
    </row>
    <row r="2734" spans="4:5" ht="14.5" x14ac:dyDescent="0.35">
      <c r="D2734"/>
      <c r="E2734"/>
    </row>
    <row r="2735" spans="4:5" ht="14.5" x14ac:dyDescent="0.35">
      <c r="D2735"/>
      <c r="E2735"/>
    </row>
    <row r="2736" spans="4:5" ht="14.5" x14ac:dyDescent="0.35">
      <c r="D2736"/>
      <c r="E2736"/>
    </row>
    <row r="2737" spans="4:5" ht="14.5" x14ac:dyDescent="0.35">
      <c r="D2737"/>
      <c r="E2737"/>
    </row>
    <row r="2738" spans="4:5" ht="14.5" x14ac:dyDescent="0.35">
      <c r="D2738"/>
      <c r="E2738"/>
    </row>
    <row r="2739" spans="4:5" ht="14.5" x14ac:dyDescent="0.35">
      <c r="D2739"/>
      <c r="E2739"/>
    </row>
    <row r="2740" spans="4:5" ht="14.5" x14ac:dyDescent="0.35">
      <c r="D2740"/>
      <c r="E2740"/>
    </row>
    <row r="2741" spans="4:5" ht="14.5" x14ac:dyDescent="0.35">
      <c r="D2741"/>
      <c r="E2741"/>
    </row>
    <row r="2742" spans="4:5" ht="14.5" x14ac:dyDescent="0.35">
      <c r="D2742"/>
      <c r="E2742"/>
    </row>
    <row r="2743" spans="4:5" ht="14.5" x14ac:dyDescent="0.35">
      <c r="D2743"/>
      <c r="E2743"/>
    </row>
    <row r="2744" spans="4:5" ht="14.5" x14ac:dyDescent="0.35">
      <c r="D2744"/>
      <c r="E2744"/>
    </row>
    <row r="2745" spans="4:5" ht="14.5" x14ac:dyDescent="0.35">
      <c r="D2745"/>
      <c r="E2745"/>
    </row>
    <row r="2746" spans="4:5" ht="14.5" x14ac:dyDescent="0.35">
      <c r="D2746"/>
      <c r="E2746"/>
    </row>
    <row r="2747" spans="4:5" ht="14.5" x14ac:dyDescent="0.35">
      <c r="D2747"/>
      <c r="E2747"/>
    </row>
    <row r="2748" spans="4:5" ht="14.5" x14ac:dyDescent="0.35">
      <c r="D2748"/>
      <c r="E2748"/>
    </row>
    <row r="2749" spans="4:5" ht="14.5" x14ac:dyDescent="0.35">
      <c r="D2749"/>
      <c r="E2749"/>
    </row>
    <row r="2750" spans="4:5" ht="14.5" x14ac:dyDescent="0.35">
      <c r="D2750"/>
      <c r="E2750"/>
    </row>
    <row r="2751" spans="4:5" ht="14.5" x14ac:dyDescent="0.35">
      <c r="D2751"/>
      <c r="E2751"/>
    </row>
    <row r="2752" spans="4:5" ht="14.5" x14ac:dyDescent="0.35">
      <c r="D2752"/>
      <c r="E2752"/>
    </row>
    <row r="2753" spans="4:5" ht="14.5" x14ac:dyDescent="0.35">
      <c r="D2753"/>
      <c r="E2753"/>
    </row>
    <row r="2754" spans="4:5" ht="14.5" x14ac:dyDescent="0.35">
      <c r="D2754"/>
      <c r="E2754"/>
    </row>
    <row r="2755" spans="4:5" ht="14.5" x14ac:dyDescent="0.35">
      <c r="D2755"/>
      <c r="E2755"/>
    </row>
    <row r="2756" spans="4:5" ht="14.5" x14ac:dyDescent="0.35">
      <c r="D2756"/>
      <c r="E2756"/>
    </row>
    <row r="2757" spans="4:5" ht="14.5" x14ac:dyDescent="0.35">
      <c r="D2757"/>
      <c r="E2757"/>
    </row>
    <row r="2758" spans="4:5" ht="14.5" x14ac:dyDescent="0.35">
      <c r="D2758"/>
      <c r="E2758"/>
    </row>
    <row r="2759" spans="4:5" ht="14.5" x14ac:dyDescent="0.35">
      <c r="D2759"/>
      <c r="E2759"/>
    </row>
    <row r="2760" spans="4:5" ht="14.5" x14ac:dyDescent="0.35">
      <c r="D2760"/>
      <c r="E2760"/>
    </row>
    <row r="2761" spans="4:5" ht="14.5" x14ac:dyDescent="0.35">
      <c r="D2761"/>
      <c r="E2761"/>
    </row>
    <row r="2762" spans="4:5" ht="14.5" x14ac:dyDescent="0.35">
      <c r="D2762"/>
      <c r="E2762"/>
    </row>
    <row r="2763" spans="4:5" ht="14.5" x14ac:dyDescent="0.35">
      <c r="D2763"/>
      <c r="E2763"/>
    </row>
    <row r="2764" spans="4:5" ht="14.5" x14ac:dyDescent="0.35">
      <c r="D2764"/>
      <c r="E2764"/>
    </row>
    <row r="2765" spans="4:5" ht="14.5" x14ac:dyDescent="0.35">
      <c r="D2765"/>
      <c r="E2765"/>
    </row>
    <row r="2766" spans="4:5" ht="14.5" x14ac:dyDescent="0.35">
      <c r="D2766"/>
      <c r="E2766"/>
    </row>
    <row r="2767" spans="4:5" ht="14.5" x14ac:dyDescent="0.35">
      <c r="D2767"/>
      <c r="E2767"/>
    </row>
    <row r="2768" spans="4:5" ht="14.5" x14ac:dyDescent="0.35">
      <c r="D2768"/>
      <c r="E2768"/>
    </row>
    <row r="2769" spans="4:5" ht="14.5" x14ac:dyDescent="0.35">
      <c r="D2769"/>
      <c r="E2769"/>
    </row>
    <row r="2770" spans="4:5" ht="14.5" x14ac:dyDescent="0.35">
      <c r="D2770"/>
      <c r="E2770"/>
    </row>
    <row r="2771" spans="4:5" ht="14.5" x14ac:dyDescent="0.35">
      <c r="D2771"/>
      <c r="E2771"/>
    </row>
    <row r="2772" spans="4:5" ht="14.5" x14ac:dyDescent="0.35">
      <c r="D2772"/>
      <c r="E2772"/>
    </row>
    <row r="2773" spans="4:5" ht="14.5" x14ac:dyDescent="0.35">
      <c r="D2773"/>
      <c r="E2773"/>
    </row>
    <row r="2774" spans="4:5" ht="14.5" x14ac:dyDescent="0.35">
      <c r="D2774"/>
      <c r="E2774"/>
    </row>
    <row r="2775" spans="4:5" ht="14.5" x14ac:dyDescent="0.35">
      <c r="D2775"/>
      <c r="E2775"/>
    </row>
    <row r="2776" spans="4:5" ht="14.5" x14ac:dyDescent="0.35">
      <c r="D2776"/>
      <c r="E2776"/>
    </row>
    <row r="2777" spans="4:5" ht="14.5" x14ac:dyDescent="0.35">
      <c r="D2777"/>
      <c r="E2777"/>
    </row>
    <row r="2778" spans="4:5" ht="14.5" x14ac:dyDescent="0.35">
      <c r="D2778"/>
      <c r="E2778"/>
    </row>
    <row r="2779" spans="4:5" ht="14.5" x14ac:dyDescent="0.35">
      <c r="D2779"/>
      <c r="E2779"/>
    </row>
    <row r="2780" spans="4:5" ht="14.5" x14ac:dyDescent="0.35">
      <c r="D2780"/>
      <c r="E2780"/>
    </row>
    <row r="2781" spans="4:5" ht="14.5" x14ac:dyDescent="0.35">
      <c r="D2781"/>
      <c r="E2781"/>
    </row>
    <row r="2782" spans="4:5" ht="14.5" x14ac:dyDescent="0.35">
      <c r="D2782"/>
      <c r="E2782"/>
    </row>
    <row r="2783" spans="4:5" ht="14.5" x14ac:dyDescent="0.35">
      <c r="D2783"/>
      <c r="E2783"/>
    </row>
    <row r="2784" spans="4:5" ht="14.5" x14ac:dyDescent="0.35">
      <c r="D2784"/>
      <c r="E2784"/>
    </row>
    <row r="2785" spans="4:5" ht="14.5" x14ac:dyDescent="0.35">
      <c r="D2785"/>
      <c r="E2785"/>
    </row>
    <row r="2786" spans="4:5" ht="14.5" x14ac:dyDescent="0.35">
      <c r="D2786"/>
      <c r="E2786"/>
    </row>
    <row r="2787" spans="4:5" ht="14.5" x14ac:dyDescent="0.35">
      <c r="D2787"/>
      <c r="E2787"/>
    </row>
    <row r="2788" spans="4:5" ht="14.5" x14ac:dyDescent="0.35">
      <c r="D2788"/>
      <c r="E2788"/>
    </row>
    <row r="2789" spans="4:5" ht="14.5" x14ac:dyDescent="0.35">
      <c r="D2789"/>
      <c r="E2789"/>
    </row>
    <row r="2790" spans="4:5" ht="14.5" x14ac:dyDescent="0.35">
      <c r="D2790"/>
      <c r="E2790"/>
    </row>
    <row r="2791" spans="4:5" ht="14.5" x14ac:dyDescent="0.35">
      <c r="D2791"/>
      <c r="E2791"/>
    </row>
    <row r="2792" spans="4:5" ht="14.5" x14ac:dyDescent="0.35">
      <c r="D2792"/>
      <c r="E2792"/>
    </row>
    <row r="2793" spans="4:5" ht="14.5" x14ac:dyDescent="0.35">
      <c r="D2793"/>
      <c r="E2793"/>
    </row>
    <row r="2794" spans="4:5" ht="14.5" x14ac:dyDescent="0.35">
      <c r="D2794"/>
      <c r="E2794"/>
    </row>
    <row r="2795" spans="4:5" ht="14.5" x14ac:dyDescent="0.35">
      <c r="D2795"/>
      <c r="E2795"/>
    </row>
    <row r="2796" spans="4:5" ht="14.5" x14ac:dyDescent="0.35">
      <c r="D2796"/>
      <c r="E2796"/>
    </row>
    <row r="2797" spans="4:5" ht="14.5" x14ac:dyDescent="0.35">
      <c r="D2797"/>
      <c r="E2797"/>
    </row>
    <row r="2798" spans="4:5" ht="14.5" x14ac:dyDescent="0.35">
      <c r="D2798"/>
      <c r="E2798"/>
    </row>
    <row r="2799" spans="4:5" ht="14.5" x14ac:dyDescent="0.35">
      <c r="D2799"/>
      <c r="E2799"/>
    </row>
    <row r="2800" spans="4:5" ht="14.5" x14ac:dyDescent="0.35">
      <c r="D2800"/>
      <c r="E2800"/>
    </row>
    <row r="2801" spans="4:5" ht="14.5" x14ac:dyDescent="0.35">
      <c r="D2801"/>
      <c r="E2801"/>
    </row>
    <row r="2802" spans="4:5" ht="14.5" x14ac:dyDescent="0.35">
      <c r="D2802"/>
      <c r="E2802"/>
    </row>
    <row r="2803" spans="4:5" ht="14.5" x14ac:dyDescent="0.35">
      <c r="D2803"/>
      <c r="E2803"/>
    </row>
    <row r="2804" spans="4:5" ht="14.5" x14ac:dyDescent="0.35">
      <c r="D2804"/>
      <c r="E2804"/>
    </row>
    <row r="2805" spans="4:5" ht="14.5" x14ac:dyDescent="0.35">
      <c r="D2805"/>
      <c r="E2805"/>
    </row>
    <row r="2806" spans="4:5" ht="14.5" x14ac:dyDescent="0.35">
      <c r="D2806"/>
      <c r="E2806"/>
    </row>
    <row r="2807" spans="4:5" ht="14.5" x14ac:dyDescent="0.35">
      <c r="D2807"/>
      <c r="E2807"/>
    </row>
    <row r="2808" spans="4:5" ht="14.5" x14ac:dyDescent="0.35">
      <c r="D2808"/>
      <c r="E2808"/>
    </row>
    <row r="2809" spans="4:5" ht="14.5" x14ac:dyDescent="0.35">
      <c r="D2809"/>
      <c r="E2809"/>
    </row>
    <row r="2810" spans="4:5" ht="14.5" x14ac:dyDescent="0.35">
      <c r="D2810"/>
      <c r="E2810"/>
    </row>
    <row r="2811" spans="4:5" ht="14.5" x14ac:dyDescent="0.35">
      <c r="D2811"/>
      <c r="E2811"/>
    </row>
    <row r="2812" spans="4:5" ht="14.5" x14ac:dyDescent="0.35">
      <c r="D2812"/>
      <c r="E2812"/>
    </row>
    <row r="2813" spans="4:5" ht="14.5" x14ac:dyDescent="0.35">
      <c r="D2813"/>
      <c r="E2813"/>
    </row>
    <row r="2814" spans="4:5" ht="14.5" x14ac:dyDescent="0.35">
      <c r="D2814"/>
      <c r="E2814"/>
    </row>
    <row r="2815" spans="4:5" ht="14.5" x14ac:dyDescent="0.35">
      <c r="D2815"/>
      <c r="E2815"/>
    </row>
    <row r="2816" spans="4:5" ht="14.5" x14ac:dyDescent="0.35">
      <c r="D2816"/>
      <c r="E2816"/>
    </row>
    <row r="2817" spans="4:5" ht="14.5" x14ac:dyDescent="0.35">
      <c r="D2817"/>
      <c r="E2817"/>
    </row>
    <row r="2818" spans="4:5" ht="14.5" x14ac:dyDescent="0.35">
      <c r="D2818"/>
      <c r="E2818"/>
    </row>
    <row r="2819" spans="4:5" ht="14.5" x14ac:dyDescent="0.35">
      <c r="D2819"/>
      <c r="E2819"/>
    </row>
    <row r="2820" spans="4:5" ht="14.5" x14ac:dyDescent="0.35">
      <c r="D2820"/>
      <c r="E2820"/>
    </row>
    <row r="2821" spans="4:5" ht="14.5" x14ac:dyDescent="0.35">
      <c r="D2821"/>
      <c r="E2821"/>
    </row>
    <row r="2822" spans="4:5" ht="14.5" x14ac:dyDescent="0.35">
      <c r="D2822"/>
      <c r="E2822"/>
    </row>
    <row r="2823" spans="4:5" ht="14.5" x14ac:dyDescent="0.35">
      <c r="D2823"/>
      <c r="E2823"/>
    </row>
    <row r="2824" spans="4:5" ht="14.5" x14ac:dyDescent="0.35">
      <c r="D2824"/>
      <c r="E2824"/>
    </row>
    <row r="2825" spans="4:5" ht="14.5" x14ac:dyDescent="0.35">
      <c r="D2825"/>
      <c r="E2825"/>
    </row>
    <row r="2826" spans="4:5" ht="14.5" x14ac:dyDescent="0.35">
      <c r="D2826"/>
      <c r="E2826"/>
    </row>
    <row r="2827" spans="4:5" ht="14.5" x14ac:dyDescent="0.35">
      <c r="D2827"/>
      <c r="E2827"/>
    </row>
    <row r="2828" spans="4:5" ht="14.5" x14ac:dyDescent="0.35">
      <c r="D2828"/>
      <c r="E2828"/>
    </row>
    <row r="2829" spans="4:5" ht="14.5" x14ac:dyDescent="0.35">
      <c r="D2829"/>
      <c r="E2829"/>
    </row>
    <row r="2830" spans="4:5" ht="14.5" x14ac:dyDescent="0.35">
      <c r="D2830"/>
      <c r="E2830"/>
    </row>
    <row r="2831" spans="4:5" ht="14.5" x14ac:dyDescent="0.35">
      <c r="D2831"/>
      <c r="E2831"/>
    </row>
    <row r="2832" spans="4:5" ht="14.5" x14ac:dyDescent="0.35">
      <c r="D2832"/>
      <c r="E2832"/>
    </row>
    <row r="2833" spans="4:5" ht="14.5" x14ac:dyDescent="0.35">
      <c r="D2833"/>
      <c r="E2833"/>
    </row>
    <row r="2834" spans="4:5" ht="14.5" x14ac:dyDescent="0.35">
      <c r="D2834"/>
      <c r="E2834"/>
    </row>
    <row r="2835" spans="4:5" ht="14.5" x14ac:dyDescent="0.35">
      <c r="D2835"/>
      <c r="E2835"/>
    </row>
    <row r="2836" spans="4:5" ht="14.5" x14ac:dyDescent="0.35">
      <c r="D2836"/>
      <c r="E2836"/>
    </row>
    <row r="2837" spans="4:5" ht="14.5" x14ac:dyDescent="0.35">
      <c r="D2837"/>
      <c r="E2837"/>
    </row>
    <row r="2838" spans="4:5" ht="14.5" x14ac:dyDescent="0.35">
      <c r="D2838"/>
      <c r="E2838"/>
    </row>
    <row r="2839" spans="4:5" ht="14.5" x14ac:dyDescent="0.35">
      <c r="D2839"/>
      <c r="E2839"/>
    </row>
    <row r="2840" spans="4:5" ht="14.5" x14ac:dyDescent="0.35">
      <c r="D2840"/>
      <c r="E2840"/>
    </row>
    <row r="2841" spans="4:5" ht="14.5" x14ac:dyDescent="0.35">
      <c r="D2841"/>
      <c r="E2841"/>
    </row>
    <row r="2842" spans="4:5" ht="14.5" x14ac:dyDescent="0.35">
      <c r="D2842"/>
      <c r="E2842"/>
    </row>
    <row r="2843" spans="4:5" ht="14.5" x14ac:dyDescent="0.35">
      <c r="D2843"/>
      <c r="E2843"/>
    </row>
    <row r="2844" spans="4:5" ht="14.5" x14ac:dyDescent="0.35">
      <c r="D2844"/>
      <c r="E2844"/>
    </row>
    <row r="2845" spans="4:5" ht="14.5" x14ac:dyDescent="0.35">
      <c r="D2845"/>
      <c r="E2845"/>
    </row>
    <row r="2846" spans="4:5" ht="14.5" x14ac:dyDescent="0.35">
      <c r="D2846"/>
      <c r="E2846"/>
    </row>
    <row r="2847" spans="4:5" ht="14.5" x14ac:dyDescent="0.35">
      <c r="D2847"/>
      <c r="E2847"/>
    </row>
    <row r="2848" spans="4:5" ht="14.5" x14ac:dyDescent="0.35">
      <c r="D2848"/>
      <c r="E2848"/>
    </row>
    <row r="2849" spans="4:5" ht="14.5" x14ac:dyDescent="0.35">
      <c r="D2849"/>
      <c r="E2849"/>
    </row>
    <row r="2850" spans="4:5" ht="14.5" x14ac:dyDescent="0.35">
      <c r="D2850"/>
      <c r="E2850"/>
    </row>
    <row r="2851" spans="4:5" ht="14.5" x14ac:dyDescent="0.35">
      <c r="D2851"/>
      <c r="E2851"/>
    </row>
    <row r="2852" spans="4:5" ht="14.5" x14ac:dyDescent="0.35">
      <c r="D2852"/>
      <c r="E2852"/>
    </row>
    <row r="2853" spans="4:5" ht="14.5" x14ac:dyDescent="0.35">
      <c r="D2853"/>
      <c r="E2853"/>
    </row>
    <row r="2854" spans="4:5" ht="14.5" x14ac:dyDescent="0.35">
      <c r="D2854"/>
      <c r="E2854"/>
    </row>
    <row r="2855" spans="4:5" ht="14.5" x14ac:dyDescent="0.35">
      <c r="D2855"/>
      <c r="E2855"/>
    </row>
    <row r="2856" spans="4:5" ht="14.5" x14ac:dyDescent="0.35">
      <c r="D2856"/>
      <c r="E2856"/>
    </row>
    <row r="2857" spans="4:5" ht="14.5" x14ac:dyDescent="0.35">
      <c r="D2857"/>
      <c r="E2857"/>
    </row>
    <row r="2858" spans="4:5" ht="14.5" x14ac:dyDescent="0.35">
      <c r="D2858"/>
      <c r="E2858"/>
    </row>
    <row r="2859" spans="4:5" ht="14.5" x14ac:dyDescent="0.35">
      <c r="D2859"/>
      <c r="E2859"/>
    </row>
    <row r="2860" spans="4:5" ht="14.5" x14ac:dyDescent="0.35">
      <c r="D2860"/>
      <c r="E2860"/>
    </row>
    <row r="2861" spans="4:5" ht="14.5" x14ac:dyDescent="0.35">
      <c r="D2861"/>
      <c r="E2861"/>
    </row>
    <row r="2862" spans="4:5" ht="14.5" x14ac:dyDescent="0.35">
      <c r="D2862"/>
      <c r="E2862"/>
    </row>
    <row r="2863" spans="4:5" ht="14.5" x14ac:dyDescent="0.35">
      <c r="D2863"/>
      <c r="E2863"/>
    </row>
    <row r="2864" spans="4:5" ht="14.5" x14ac:dyDescent="0.35">
      <c r="D2864"/>
      <c r="E2864"/>
    </row>
    <row r="2865" spans="4:5" ht="14.5" x14ac:dyDescent="0.35">
      <c r="D2865"/>
      <c r="E2865"/>
    </row>
    <row r="2866" spans="4:5" ht="14.5" x14ac:dyDescent="0.35">
      <c r="D2866"/>
      <c r="E2866"/>
    </row>
    <row r="2867" spans="4:5" ht="14.5" x14ac:dyDescent="0.35">
      <c r="D2867"/>
      <c r="E2867"/>
    </row>
    <row r="2868" spans="4:5" ht="14.5" x14ac:dyDescent="0.35">
      <c r="D2868"/>
      <c r="E2868"/>
    </row>
    <row r="2869" spans="4:5" ht="14.5" x14ac:dyDescent="0.35">
      <c r="D2869"/>
      <c r="E2869"/>
    </row>
    <row r="2870" spans="4:5" ht="14.5" x14ac:dyDescent="0.35">
      <c r="D2870"/>
      <c r="E2870"/>
    </row>
    <row r="2871" spans="4:5" ht="14.5" x14ac:dyDescent="0.35">
      <c r="D2871"/>
      <c r="E2871"/>
    </row>
    <row r="2872" spans="4:5" ht="14.5" x14ac:dyDescent="0.35">
      <c r="D2872"/>
      <c r="E2872"/>
    </row>
    <row r="2873" spans="4:5" ht="14.5" x14ac:dyDescent="0.35">
      <c r="D2873"/>
      <c r="E2873"/>
    </row>
    <row r="2874" spans="4:5" ht="14.5" x14ac:dyDescent="0.35">
      <c r="D2874"/>
      <c r="E2874"/>
    </row>
    <row r="2875" spans="4:5" ht="14.5" x14ac:dyDescent="0.35">
      <c r="D2875"/>
      <c r="E2875"/>
    </row>
    <row r="2876" spans="4:5" ht="14.5" x14ac:dyDescent="0.35">
      <c r="D2876"/>
      <c r="E2876"/>
    </row>
    <row r="2877" spans="4:5" ht="14.5" x14ac:dyDescent="0.35">
      <c r="D2877"/>
      <c r="E2877"/>
    </row>
    <row r="2878" spans="4:5" ht="14.5" x14ac:dyDescent="0.35">
      <c r="D2878"/>
      <c r="E2878"/>
    </row>
    <row r="2879" spans="4:5" ht="14.5" x14ac:dyDescent="0.35">
      <c r="D2879"/>
      <c r="E2879"/>
    </row>
    <row r="2880" spans="4:5" ht="14.5" x14ac:dyDescent="0.35">
      <c r="D2880"/>
      <c r="E2880"/>
    </row>
    <row r="2881" spans="4:5" ht="14.5" x14ac:dyDescent="0.35">
      <c r="D2881"/>
      <c r="E2881"/>
    </row>
    <row r="2882" spans="4:5" ht="14.5" x14ac:dyDescent="0.35">
      <c r="D2882"/>
      <c r="E2882"/>
    </row>
    <row r="2883" spans="4:5" ht="14.5" x14ac:dyDescent="0.35">
      <c r="D2883"/>
      <c r="E2883"/>
    </row>
    <row r="2884" spans="4:5" ht="14.5" x14ac:dyDescent="0.35">
      <c r="D2884"/>
      <c r="E2884"/>
    </row>
    <row r="2885" spans="4:5" ht="14.5" x14ac:dyDescent="0.35">
      <c r="D2885"/>
      <c r="E2885"/>
    </row>
    <row r="2886" spans="4:5" ht="14.5" x14ac:dyDescent="0.35">
      <c r="D2886"/>
      <c r="E2886"/>
    </row>
    <row r="2887" spans="4:5" ht="14.5" x14ac:dyDescent="0.35">
      <c r="D2887"/>
      <c r="E2887"/>
    </row>
    <row r="2888" spans="4:5" ht="14.5" x14ac:dyDescent="0.35">
      <c r="D2888"/>
      <c r="E2888"/>
    </row>
    <row r="2889" spans="4:5" ht="14.5" x14ac:dyDescent="0.35">
      <c r="D2889"/>
      <c r="E2889"/>
    </row>
    <row r="2890" spans="4:5" ht="14.5" x14ac:dyDescent="0.35">
      <c r="D2890"/>
      <c r="E2890"/>
    </row>
    <row r="2891" spans="4:5" ht="14.5" x14ac:dyDescent="0.35">
      <c r="D2891"/>
      <c r="E2891"/>
    </row>
    <row r="2892" spans="4:5" ht="14.5" x14ac:dyDescent="0.35">
      <c r="D2892"/>
      <c r="E2892"/>
    </row>
    <row r="2893" spans="4:5" ht="14.5" x14ac:dyDescent="0.35">
      <c r="D2893"/>
      <c r="E2893"/>
    </row>
    <row r="2894" spans="4:5" ht="14.5" x14ac:dyDescent="0.35">
      <c r="D2894"/>
      <c r="E2894"/>
    </row>
    <row r="2895" spans="4:5" ht="14.5" x14ac:dyDescent="0.35">
      <c r="D2895"/>
      <c r="E2895"/>
    </row>
    <row r="2896" spans="4:5" ht="14.5" x14ac:dyDescent="0.35">
      <c r="D2896"/>
      <c r="E2896"/>
    </row>
    <row r="2897" spans="4:5" ht="14.5" x14ac:dyDescent="0.35">
      <c r="D2897"/>
      <c r="E2897"/>
    </row>
    <row r="2898" spans="4:5" ht="14.5" x14ac:dyDescent="0.35">
      <c r="D2898"/>
      <c r="E2898"/>
    </row>
    <row r="2899" spans="4:5" ht="14.5" x14ac:dyDescent="0.35">
      <c r="D2899"/>
      <c r="E2899"/>
    </row>
    <row r="2900" spans="4:5" ht="14.5" x14ac:dyDescent="0.35">
      <c r="D2900"/>
      <c r="E2900"/>
    </row>
    <row r="2901" spans="4:5" ht="14.5" x14ac:dyDescent="0.35">
      <c r="D2901"/>
      <c r="E2901"/>
    </row>
    <row r="2902" spans="4:5" ht="14.5" x14ac:dyDescent="0.35">
      <c r="D2902"/>
      <c r="E2902"/>
    </row>
    <row r="2903" spans="4:5" ht="14.5" x14ac:dyDescent="0.35">
      <c r="D2903"/>
      <c r="E2903"/>
    </row>
    <row r="2904" spans="4:5" ht="14.5" x14ac:dyDescent="0.35">
      <c r="D2904"/>
      <c r="E2904"/>
    </row>
    <row r="2905" spans="4:5" ht="14.5" x14ac:dyDescent="0.35">
      <c r="D2905"/>
      <c r="E2905"/>
    </row>
    <row r="2906" spans="4:5" ht="14.5" x14ac:dyDescent="0.35">
      <c r="D2906"/>
      <c r="E2906"/>
    </row>
    <row r="2907" spans="4:5" ht="14.5" x14ac:dyDescent="0.35">
      <c r="D2907"/>
      <c r="E2907"/>
    </row>
    <row r="2908" spans="4:5" ht="14.5" x14ac:dyDescent="0.35">
      <c r="D2908"/>
      <c r="E2908"/>
    </row>
    <row r="2909" spans="4:5" ht="14.5" x14ac:dyDescent="0.35">
      <c r="D2909"/>
      <c r="E2909"/>
    </row>
    <row r="2910" spans="4:5" ht="14.5" x14ac:dyDescent="0.35">
      <c r="D2910"/>
      <c r="E2910"/>
    </row>
    <row r="2911" spans="4:5" ht="14.5" x14ac:dyDescent="0.35">
      <c r="D2911"/>
      <c r="E2911"/>
    </row>
    <row r="2912" spans="4:5" ht="14.5" x14ac:dyDescent="0.35">
      <c r="D2912"/>
      <c r="E2912"/>
    </row>
    <row r="2913" spans="4:5" ht="14.5" x14ac:dyDescent="0.35">
      <c r="D2913"/>
      <c r="E2913"/>
    </row>
    <row r="2914" spans="4:5" ht="14.5" x14ac:dyDescent="0.35">
      <c r="D2914"/>
      <c r="E2914"/>
    </row>
    <row r="2915" spans="4:5" ht="14.5" x14ac:dyDescent="0.35">
      <c r="D2915"/>
      <c r="E2915"/>
    </row>
    <row r="2916" spans="4:5" ht="14.5" x14ac:dyDescent="0.35">
      <c r="D2916"/>
      <c r="E2916"/>
    </row>
    <row r="2917" spans="4:5" ht="14.5" x14ac:dyDescent="0.35">
      <c r="D2917"/>
      <c r="E2917"/>
    </row>
    <row r="2918" spans="4:5" ht="14.5" x14ac:dyDescent="0.35">
      <c r="D2918"/>
      <c r="E2918"/>
    </row>
    <row r="2919" spans="4:5" ht="14.5" x14ac:dyDescent="0.35">
      <c r="D2919"/>
      <c r="E2919"/>
    </row>
    <row r="2920" spans="4:5" ht="14.5" x14ac:dyDescent="0.35">
      <c r="D2920"/>
      <c r="E2920"/>
    </row>
    <row r="2921" spans="4:5" ht="14.5" x14ac:dyDescent="0.35">
      <c r="D2921"/>
      <c r="E2921"/>
    </row>
    <row r="2922" spans="4:5" ht="14.5" x14ac:dyDescent="0.35">
      <c r="D2922"/>
      <c r="E2922"/>
    </row>
    <row r="2923" spans="4:5" ht="14.5" x14ac:dyDescent="0.35">
      <c r="D2923"/>
      <c r="E2923"/>
    </row>
    <row r="2924" spans="4:5" ht="14.5" x14ac:dyDescent="0.35">
      <c r="D2924"/>
      <c r="E2924"/>
    </row>
    <row r="2925" spans="4:5" ht="14.5" x14ac:dyDescent="0.35">
      <c r="D2925"/>
      <c r="E2925"/>
    </row>
    <row r="2926" spans="4:5" ht="14.5" x14ac:dyDescent="0.35">
      <c r="D2926"/>
      <c r="E2926"/>
    </row>
    <row r="2927" spans="4:5" ht="14.5" x14ac:dyDescent="0.35">
      <c r="D2927"/>
      <c r="E2927"/>
    </row>
    <row r="2928" spans="4:5" ht="14.5" x14ac:dyDescent="0.35">
      <c r="D2928"/>
      <c r="E2928"/>
    </row>
    <row r="2929" spans="4:5" ht="14.5" x14ac:dyDescent="0.35">
      <c r="D2929"/>
      <c r="E2929"/>
    </row>
    <row r="2930" spans="4:5" ht="14.5" x14ac:dyDescent="0.35">
      <c r="D2930"/>
      <c r="E2930"/>
    </row>
    <row r="2931" spans="4:5" ht="14.5" x14ac:dyDescent="0.35">
      <c r="D2931"/>
      <c r="E2931"/>
    </row>
    <row r="2932" spans="4:5" ht="14.5" x14ac:dyDescent="0.35">
      <c r="D2932"/>
      <c r="E2932"/>
    </row>
    <row r="2933" spans="4:5" ht="14.5" x14ac:dyDescent="0.35">
      <c r="D2933"/>
      <c r="E2933"/>
    </row>
    <row r="2934" spans="4:5" ht="14.5" x14ac:dyDescent="0.35">
      <c r="D2934"/>
      <c r="E2934"/>
    </row>
    <row r="2935" spans="4:5" ht="14.5" x14ac:dyDescent="0.35">
      <c r="D2935"/>
      <c r="E2935"/>
    </row>
    <row r="2936" spans="4:5" ht="14.5" x14ac:dyDescent="0.35">
      <c r="D2936"/>
      <c r="E2936"/>
    </row>
    <row r="2937" spans="4:5" ht="14.5" x14ac:dyDescent="0.35">
      <c r="D2937"/>
      <c r="E2937"/>
    </row>
    <row r="2938" spans="4:5" ht="14.5" x14ac:dyDescent="0.35">
      <c r="D2938"/>
      <c r="E2938"/>
    </row>
    <row r="2939" spans="4:5" ht="14.5" x14ac:dyDescent="0.35">
      <c r="D2939"/>
      <c r="E2939"/>
    </row>
    <row r="2940" spans="4:5" ht="14.5" x14ac:dyDescent="0.35">
      <c r="D2940"/>
      <c r="E2940"/>
    </row>
    <row r="2941" spans="4:5" ht="14.5" x14ac:dyDescent="0.35">
      <c r="D2941"/>
      <c r="E2941"/>
    </row>
    <row r="2942" spans="4:5" ht="14.5" x14ac:dyDescent="0.35">
      <c r="D2942"/>
      <c r="E2942"/>
    </row>
    <row r="2943" spans="4:5" ht="14.5" x14ac:dyDescent="0.35">
      <c r="D2943"/>
      <c r="E2943"/>
    </row>
    <row r="2944" spans="4:5" ht="14.5" x14ac:dyDescent="0.35">
      <c r="D2944"/>
      <c r="E2944"/>
    </row>
    <row r="2945" spans="4:5" ht="14.5" x14ac:dyDescent="0.35">
      <c r="D2945"/>
      <c r="E2945"/>
    </row>
    <row r="2946" spans="4:5" ht="14.5" x14ac:dyDescent="0.35">
      <c r="D2946"/>
      <c r="E2946"/>
    </row>
    <row r="2947" spans="4:5" ht="14.5" x14ac:dyDescent="0.35">
      <c r="D2947"/>
      <c r="E2947"/>
    </row>
    <row r="2948" spans="4:5" ht="14.5" x14ac:dyDescent="0.35">
      <c r="D2948"/>
      <c r="E2948"/>
    </row>
    <row r="2949" spans="4:5" ht="14.5" x14ac:dyDescent="0.35">
      <c r="D2949"/>
      <c r="E2949"/>
    </row>
    <row r="2950" spans="4:5" ht="14.5" x14ac:dyDescent="0.35">
      <c r="D2950"/>
      <c r="E2950"/>
    </row>
    <row r="2951" spans="4:5" ht="14.5" x14ac:dyDescent="0.35">
      <c r="D2951"/>
      <c r="E2951"/>
    </row>
    <row r="2952" spans="4:5" ht="14.5" x14ac:dyDescent="0.35">
      <c r="D2952"/>
      <c r="E2952"/>
    </row>
    <row r="2953" spans="4:5" ht="14.5" x14ac:dyDescent="0.35">
      <c r="D2953"/>
      <c r="E2953"/>
    </row>
    <row r="2954" spans="4:5" ht="14.5" x14ac:dyDescent="0.35">
      <c r="D2954"/>
      <c r="E2954"/>
    </row>
    <row r="2955" spans="4:5" ht="14.5" x14ac:dyDescent="0.35">
      <c r="D2955"/>
      <c r="E2955"/>
    </row>
    <row r="2956" spans="4:5" ht="14.5" x14ac:dyDescent="0.35">
      <c r="D2956"/>
      <c r="E2956"/>
    </row>
    <row r="2957" spans="4:5" ht="14.5" x14ac:dyDescent="0.35">
      <c r="D2957"/>
      <c r="E2957"/>
    </row>
    <row r="2958" spans="4:5" ht="14.5" x14ac:dyDescent="0.35">
      <c r="D2958"/>
      <c r="E2958"/>
    </row>
    <row r="2959" spans="4:5" ht="14.5" x14ac:dyDescent="0.35">
      <c r="D2959"/>
      <c r="E2959"/>
    </row>
    <row r="2960" spans="4:5" ht="14.5" x14ac:dyDescent="0.35">
      <c r="D2960"/>
      <c r="E2960"/>
    </row>
    <row r="2961" spans="4:5" ht="14.5" x14ac:dyDescent="0.35">
      <c r="D2961"/>
      <c r="E2961"/>
    </row>
    <row r="2962" spans="4:5" ht="14.5" x14ac:dyDescent="0.35">
      <c r="D2962"/>
      <c r="E2962"/>
    </row>
    <row r="2963" spans="4:5" ht="14.5" x14ac:dyDescent="0.35">
      <c r="D2963"/>
      <c r="E2963"/>
    </row>
    <row r="2964" spans="4:5" ht="14.5" x14ac:dyDescent="0.35">
      <c r="D2964"/>
      <c r="E2964"/>
    </row>
    <row r="2965" spans="4:5" ht="14.5" x14ac:dyDescent="0.35">
      <c r="D2965"/>
      <c r="E2965"/>
    </row>
    <row r="2966" spans="4:5" ht="14.5" x14ac:dyDescent="0.35">
      <c r="D2966"/>
      <c r="E2966"/>
    </row>
    <row r="2967" spans="4:5" ht="14.5" x14ac:dyDescent="0.35">
      <c r="D2967"/>
      <c r="E2967"/>
    </row>
    <row r="2968" spans="4:5" ht="14.5" x14ac:dyDescent="0.35">
      <c r="D2968"/>
      <c r="E2968"/>
    </row>
    <row r="2969" spans="4:5" ht="14.5" x14ac:dyDescent="0.35">
      <c r="D2969"/>
      <c r="E2969"/>
    </row>
    <row r="2970" spans="4:5" ht="14.5" x14ac:dyDescent="0.35">
      <c r="D2970"/>
      <c r="E2970"/>
    </row>
    <row r="2971" spans="4:5" ht="14.5" x14ac:dyDescent="0.35">
      <c r="D2971"/>
      <c r="E2971"/>
    </row>
    <row r="2972" spans="4:5" ht="14.5" x14ac:dyDescent="0.35">
      <c r="D2972"/>
      <c r="E2972"/>
    </row>
    <row r="2973" spans="4:5" ht="14.5" x14ac:dyDescent="0.35">
      <c r="D2973"/>
      <c r="E2973"/>
    </row>
    <row r="2974" spans="4:5" ht="14.5" x14ac:dyDescent="0.35">
      <c r="D2974"/>
      <c r="E2974"/>
    </row>
    <row r="2975" spans="4:5" ht="14.5" x14ac:dyDescent="0.35">
      <c r="D2975"/>
      <c r="E2975"/>
    </row>
    <row r="2976" spans="4:5" ht="14.5" x14ac:dyDescent="0.35">
      <c r="D2976"/>
      <c r="E2976"/>
    </row>
    <row r="2977" spans="4:5" ht="14.5" x14ac:dyDescent="0.35">
      <c r="D2977"/>
      <c r="E2977"/>
    </row>
    <row r="2978" spans="4:5" ht="14.5" x14ac:dyDescent="0.35">
      <c r="D2978"/>
      <c r="E2978"/>
    </row>
    <row r="2979" spans="4:5" ht="14.5" x14ac:dyDescent="0.35">
      <c r="D2979"/>
      <c r="E2979"/>
    </row>
    <row r="2980" spans="4:5" ht="14.5" x14ac:dyDescent="0.35">
      <c r="D2980"/>
      <c r="E2980"/>
    </row>
    <row r="2981" spans="4:5" ht="14.5" x14ac:dyDescent="0.35">
      <c r="D2981"/>
      <c r="E2981"/>
    </row>
    <row r="2982" spans="4:5" ht="14.5" x14ac:dyDescent="0.35">
      <c r="D2982"/>
      <c r="E2982"/>
    </row>
    <row r="2983" spans="4:5" ht="14.5" x14ac:dyDescent="0.35">
      <c r="D2983"/>
      <c r="E2983"/>
    </row>
    <row r="2984" spans="4:5" ht="14.5" x14ac:dyDescent="0.35">
      <c r="D2984"/>
      <c r="E2984"/>
    </row>
    <row r="2985" spans="4:5" ht="14.5" x14ac:dyDescent="0.35">
      <c r="D2985"/>
      <c r="E2985"/>
    </row>
    <row r="2986" spans="4:5" ht="14.5" x14ac:dyDescent="0.35">
      <c r="D2986"/>
      <c r="E2986"/>
    </row>
    <row r="2987" spans="4:5" ht="14.5" x14ac:dyDescent="0.35">
      <c r="D2987"/>
      <c r="E2987"/>
    </row>
    <row r="2988" spans="4:5" ht="14.5" x14ac:dyDescent="0.35">
      <c r="D2988"/>
      <c r="E2988"/>
    </row>
    <row r="2989" spans="4:5" ht="14.5" x14ac:dyDescent="0.35">
      <c r="D2989"/>
      <c r="E2989"/>
    </row>
    <row r="2990" spans="4:5" ht="14.5" x14ac:dyDescent="0.35">
      <c r="D2990"/>
      <c r="E2990"/>
    </row>
    <row r="2991" spans="4:5" ht="14.5" x14ac:dyDescent="0.35">
      <c r="D2991"/>
      <c r="E2991"/>
    </row>
    <row r="2992" spans="4:5" ht="14.5" x14ac:dyDescent="0.35">
      <c r="D2992"/>
      <c r="E2992"/>
    </row>
    <row r="2993" spans="4:5" ht="14.5" x14ac:dyDescent="0.35">
      <c r="D2993"/>
      <c r="E2993"/>
    </row>
    <row r="2994" spans="4:5" ht="14.5" x14ac:dyDescent="0.35">
      <c r="D2994"/>
      <c r="E2994"/>
    </row>
    <row r="2995" spans="4:5" ht="14.5" x14ac:dyDescent="0.35">
      <c r="D2995"/>
      <c r="E2995"/>
    </row>
    <row r="2996" spans="4:5" ht="14.5" x14ac:dyDescent="0.35">
      <c r="D2996"/>
      <c r="E2996"/>
    </row>
    <row r="2997" spans="4:5" ht="14.5" x14ac:dyDescent="0.35">
      <c r="D2997"/>
      <c r="E2997"/>
    </row>
    <row r="2998" spans="4:5" ht="14.5" x14ac:dyDescent="0.35">
      <c r="D2998"/>
      <c r="E2998"/>
    </row>
    <row r="2999" spans="4:5" ht="14.5" x14ac:dyDescent="0.35">
      <c r="D2999"/>
      <c r="E2999"/>
    </row>
    <row r="3000" spans="4:5" ht="14.5" x14ac:dyDescent="0.35">
      <c r="D3000"/>
      <c r="E3000"/>
    </row>
    <row r="3001" spans="4:5" ht="14.5" x14ac:dyDescent="0.35">
      <c r="D3001"/>
      <c r="E3001"/>
    </row>
    <row r="3002" spans="4:5" ht="14.5" x14ac:dyDescent="0.35">
      <c r="D3002"/>
      <c r="E3002"/>
    </row>
    <row r="3003" spans="4:5" ht="14.5" x14ac:dyDescent="0.35">
      <c r="D3003"/>
      <c r="E3003"/>
    </row>
    <row r="3004" spans="4:5" ht="14.5" x14ac:dyDescent="0.35">
      <c r="D3004"/>
      <c r="E3004"/>
    </row>
    <row r="3005" spans="4:5" ht="14.5" x14ac:dyDescent="0.35">
      <c r="D3005"/>
      <c r="E3005"/>
    </row>
    <row r="3006" spans="4:5" ht="14.5" x14ac:dyDescent="0.35">
      <c r="D3006"/>
      <c r="E3006"/>
    </row>
    <row r="3007" spans="4:5" ht="14.5" x14ac:dyDescent="0.35">
      <c r="D3007"/>
      <c r="E3007"/>
    </row>
    <row r="3008" spans="4:5" ht="14.5" x14ac:dyDescent="0.35">
      <c r="D3008"/>
      <c r="E3008"/>
    </row>
    <row r="3009" spans="4:5" ht="14.5" x14ac:dyDescent="0.35">
      <c r="D3009"/>
      <c r="E3009"/>
    </row>
    <row r="3010" spans="4:5" ht="14.5" x14ac:dyDescent="0.35">
      <c r="D3010"/>
      <c r="E3010"/>
    </row>
    <row r="3011" spans="4:5" ht="14.5" x14ac:dyDescent="0.35">
      <c r="D3011"/>
      <c r="E3011"/>
    </row>
    <row r="3012" spans="4:5" ht="14.5" x14ac:dyDescent="0.35">
      <c r="D3012"/>
      <c r="E3012"/>
    </row>
    <row r="3013" spans="4:5" ht="14.5" x14ac:dyDescent="0.35">
      <c r="D3013"/>
      <c r="E3013"/>
    </row>
    <row r="3014" spans="4:5" ht="14.5" x14ac:dyDescent="0.35">
      <c r="D3014"/>
      <c r="E3014"/>
    </row>
    <row r="3015" spans="4:5" ht="14.5" x14ac:dyDescent="0.35">
      <c r="D3015"/>
      <c r="E3015"/>
    </row>
    <row r="3016" spans="4:5" ht="14.5" x14ac:dyDescent="0.35">
      <c r="D3016"/>
      <c r="E3016"/>
    </row>
    <row r="3017" spans="4:5" ht="14.5" x14ac:dyDescent="0.35">
      <c r="D3017"/>
      <c r="E3017"/>
    </row>
    <row r="3018" spans="4:5" ht="14.5" x14ac:dyDescent="0.35">
      <c r="D3018"/>
      <c r="E3018"/>
    </row>
    <row r="3019" spans="4:5" ht="14.5" x14ac:dyDescent="0.35">
      <c r="D3019"/>
      <c r="E3019"/>
    </row>
    <row r="3020" spans="4:5" ht="14.5" x14ac:dyDescent="0.35">
      <c r="D3020"/>
      <c r="E3020"/>
    </row>
    <row r="3021" spans="4:5" ht="14.5" x14ac:dyDescent="0.35">
      <c r="D3021"/>
      <c r="E3021"/>
    </row>
    <row r="3022" spans="4:5" ht="14.5" x14ac:dyDescent="0.35">
      <c r="D3022"/>
      <c r="E3022"/>
    </row>
    <row r="3023" spans="4:5" ht="14.5" x14ac:dyDescent="0.35">
      <c r="D3023"/>
      <c r="E3023"/>
    </row>
    <row r="3024" spans="4:5" ht="14.5" x14ac:dyDescent="0.35">
      <c r="D3024"/>
      <c r="E3024"/>
    </row>
    <row r="3025" spans="4:5" ht="14.5" x14ac:dyDescent="0.35">
      <c r="D3025"/>
      <c r="E3025"/>
    </row>
    <row r="3026" spans="4:5" ht="14.5" x14ac:dyDescent="0.35">
      <c r="D3026"/>
      <c r="E3026"/>
    </row>
    <row r="3027" spans="4:5" ht="14.5" x14ac:dyDescent="0.35">
      <c r="D3027"/>
      <c r="E3027"/>
    </row>
    <row r="3028" spans="4:5" ht="14.5" x14ac:dyDescent="0.35">
      <c r="D3028"/>
      <c r="E3028"/>
    </row>
    <row r="3029" spans="4:5" ht="14.5" x14ac:dyDescent="0.35">
      <c r="D3029"/>
      <c r="E3029"/>
    </row>
    <row r="3030" spans="4:5" ht="14.5" x14ac:dyDescent="0.35">
      <c r="D3030"/>
      <c r="E3030"/>
    </row>
    <row r="3031" spans="4:5" ht="14.5" x14ac:dyDescent="0.35">
      <c r="D3031"/>
      <c r="E3031"/>
    </row>
    <row r="3032" spans="4:5" ht="14.5" x14ac:dyDescent="0.35">
      <c r="D3032"/>
      <c r="E3032"/>
    </row>
    <row r="3033" spans="4:5" ht="14.5" x14ac:dyDescent="0.35">
      <c r="D3033"/>
      <c r="E3033"/>
    </row>
  </sheetData>
  <mergeCells count="144">
    <mergeCell ref="B73:I73"/>
    <mergeCell ref="B74:I74"/>
    <mergeCell ref="B75:I75"/>
    <mergeCell ref="B76:I76"/>
    <mergeCell ref="B77:I77"/>
    <mergeCell ref="B78:I78"/>
    <mergeCell ref="B79:I79"/>
    <mergeCell ref="J73:N73"/>
    <mergeCell ref="J74:N74"/>
    <mergeCell ref="J75:N75"/>
    <mergeCell ref="J76:N76"/>
    <mergeCell ref="J77:N77"/>
    <mergeCell ref="J78:N78"/>
    <mergeCell ref="J79:N79"/>
    <mergeCell ref="B67:I67"/>
    <mergeCell ref="J67:N67"/>
    <mergeCell ref="B66:I66"/>
    <mergeCell ref="J66:N66"/>
    <mergeCell ref="B63:I63"/>
    <mergeCell ref="J63:N63"/>
    <mergeCell ref="B64:I64"/>
    <mergeCell ref="J64:N64"/>
    <mergeCell ref="B61:I61"/>
    <mergeCell ref="J61:N61"/>
    <mergeCell ref="B62:I62"/>
    <mergeCell ref="J62:N62"/>
    <mergeCell ref="B65:I65"/>
    <mergeCell ref="J65:N65"/>
    <mergeCell ref="B71:I71"/>
    <mergeCell ref="J71:N71"/>
    <mergeCell ref="B72:I72"/>
    <mergeCell ref="J72:N72"/>
    <mergeCell ref="B68:I68"/>
    <mergeCell ref="J68:N68"/>
    <mergeCell ref="B69:I69"/>
    <mergeCell ref="J69:N69"/>
    <mergeCell ref="B70:I70"/>
    <mergeCell ref="J70:N70"/>
    <mergeCell ref="B59:I59"/>
    <mergeCell ref="J59:N59"/>
    <mergeCell ref="B60:I60"/>
    <mergeCell ref="J60:N60"/>
    <mergeCell ref="B55:I55"/>
    <mergeCell ref="J55:N55"/>
    <mergeCell ref="B56:I56"/>
    <mergeCell ref="J56:N56"/>
    <mergeCell ref="B57:I57"/>
    <mergeCell ref="J57:N57"/>
    <mergeCell ref="B58:I58"/>
    <mergeCell ref="J58:N58"/>
    <mergeCell ref="B52:I52"/>
    <mergeCell ref="J52:N52"/>
    <mergeCell ref="B53:I53"/>
    <mergeCell ref="J53:N53"/>
    <mergeCell ref="B54:I54"/>
    <mergeCell ref="J54:N54"/>
    <mergeCell ref="B47:I47"/>
    <mergeCell ref="J47:N47"/>
    <mergeCell ref="B48:I48"/>
    <mergeCell ref="J48:N48"/>
    <mergeCell ref="B49:I49"/>
    <mergeCell ref="J49:N49"/>
    <mergeCell ref="B51:I51"/>
    <mergeCell ref="J51:N51"/>
    <mergeCell ref="B50:I50"/>
    <mergeCell ref="J50:N50"/>
    <mergeCell ref="B44:I44"/>
    <mergeCell ref="J44:N44"/>
    <mergeCell ref="B45:I45"/>
    <mergeCell ref="J45:N45"/>
    <mergeCell ref="B46:I46"/>
    <mergeCell ref="J46:N46"/>
    <mergeCell ref="B39:I39"/>
    <mergeCell ref="J39:N39"/>
    <mergeCell ref="B40:I40"/>
    <mergeCell ref="J40:N40"/>
    <mergeCell ref="B43:I43"/>
    <mergeCell ref="J43:N43"/>
    <mergeCell ref="B42:I42"/>
    <mergeCell ref="J42:N42"/>
    <mergeCell ref="J41:N41"/>
    <mergeCell ref="B41:I41"/>
    <mergeCell ref="B38:I38"/>
    <mergeCell ref="J38:N38"/>
    <mergeCell ref="B37:I37"/>
    <mergeCell ref="J37:N37"/>
    <mergeCell ref="B33:I33"/>
    <mergeCell ref="J33:N33"/>
    <mergeCell ref="B34:I34"/>
    <mergeCell ref="J34:N34"/>
    <mergeCell ref="B36:I36"/>
    <mergeCell ref="J36:N36"/>
    <mergeCell ref="B31:I31"/>
    <mergeCell ref="J31:N31"/>
    <mergeCell ref="B35:I35"/>
    <mergeCell ref="J35:N35"/>
    <mergeCell ref="B32:I32"/>
    <mergeCell ref="J32:N32"/>
    <mergeCell ref="B27:I27"/>
    <mergeCell ref="J27:N27"/>
    <mergeCell ref="B28:I28"/>
    <mergeCell ref="J28:N28"/>
    <mergeCell ref="B30:I30"/>
    <mergeCell ref="J30:N30"/>
    <mergeCell ref="B24:I24"/>
    <mergeCell ref="J24:N24"/>
    <mergeCell ref="B26:I26"/>
    <mergeCell ref="J26:N26"/>
    <mergeCell ref="B29:I29"/>
    <mergeCell ref="J29:N29"/>
    <mergeCell ref="B22:I22"/>
    <mergeCell ref="J22:N22"/>
    <mergeCell ref="B23:I23"/>
    <mergeCell ref="J23:N23"/>
    <mergeCell ref="B25:I25"/>
    <mergeCell ref="J25:N25"/>
    <mergeCell ref="B19:I19"/>
    <mergeCell ref="J19:N19"/>
    <mergeCell ref="B20:I20"/>
    <mergeCell ref="J20:N20"/>
    <mergeCell ref="B21:I21"/>
    <mergeCell ref="J21:N21"/>
    <mergeCell ref="B16:I16"/>
    <mergeCell ref="J16:N16"/>
    <mergeCell ref="B17:I17"/>
    <mergeCell ref="J17:N17"/>
    <mergeCell ref="B18:I18"/>
    <mergeCell ref="J18:N18"/>
    <mergeCell ref="B4:M4"/>
    <mergeCell ref="B6:M6"/>
    <mergeCell ref="J12:N12"/>
    <mergeCell ref="B13:I13"/>
    <mergeCell ref="J13:N13"/>
    <mergeCell ref="B14:I14"/>
    <mergeCell ref="J14:N14"/>
    <mergeCell ref="B15:I15"/>
    <mergeCell ref="J15:N15"/>
    <mergeCell ref="B8:I8"/>
    <mergeCell ref="J8:N8"/>
    <mergeCell ref="B11:I11"/>
    <mergeCell ref="J11:N11"/>
    <mergeCell ref="B12:I12"/>
    <mergeCell ref="B10:I10"/>
    <mergeCell ref="J10:N10"/>
  </mergeCells>
  <printOptions gridLines="1"/>
  <pageMargins left="0" right="0" top="0" bottom="0" header="0.3" footer="0.3"/>
  <pageSetup scale="4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E694-072E-4F15-8FD8-1C9086CC28AE}">
  <sheetPr>
    <tabColor theme="1"/>
    <pageSetUpPr fitToPage="1"/>
  </sheetPr>
  <dimension ref="A1:X66"/>
  <sheetViews>
    <sheetView zoomScale="85" zoomScaleNormal="85" workbookViewId="0">
      <selection activeCell="R20" sqref="R20"/>
    </sheetView>
  </sheetViews>
  <sheetFormatPr defaultColWidth="9.08984375" defaultRowHeight="14" x14ac:dyDescent="0.3"/>
  <cols>
    <col min="1" max="1" width="5.6328125" style="64" customWidth="1"/>
    <col min="2" max="4" width="5.453125" style="64" customWidth="1"/>
    <col min="5" max="5" width="14.08984375" style="64" customWidth="1"/>
    <col min="6" max="6" width="15.6328125" style="64" customWidth="1"/>
    <col min="7" max="7" width="13.36328125" style="64" customWidth="1"/>
    <col min="8" max="8" width="1.54296875" style="64" customWidth="1"/>
    <col min="9" max="9" width="42.36328125" style="64" customWidth="1"/>
    <col min="10" max="10" width="1.453125" style="64" customWidth="1"/>
    <col min="11" max="11" width="42.36328125" style="64" customWidth="1"/>
    <col min="12" max="12" width="2.90625" style="64" customWidth="1"/>
    <col min="13" max="13" width="20.90625" style="64" customWidth="1"/>
    <col min="14" max="14" width="5.6328125" style="64" customWidth="1"/>
    <col min="15" max="15" width="35.54296875" style="64" customWidth="1"/>
    <col min="16" max="16" width="2.90625" style="64" customWidth="1"/>
    <col min="17" max="17" width="14.36328125" style="64" customWidth="1"/>
    <col min="18" max="18" width="2.90625" style="64" customWidth="1"/>
    <col min="19" max="19" width="11.453125" style="64" customWidth="1"/>
    <col min="20" max="20" width="2.90625" style="64" customWidth="1"/>
    <col min="21" max="23" width="16.36328125" style="64" customWidth="1"/>
    <col min="24" max="24" width="5.6328125" style="64" customWidth="1"/>
    <col min="25" max="25" width="9.08984375" style="64"/>
    <col min="26" max="26" width="14" style="64" customWidth="1"/>
    <col min="27" max="27" width="22.6328125" style="64" customWidth="1"/>
    <col min="28" max="28" width="16.453125" style="64" customWidth="1"/>
    <col min="29" max="29" width="9.08984375" style="64"/>
    <col min="30" max="30" width="13" style="64" customWidth="1"/>
    <col min="31" max="31" width="9.08984375" style="64"/>
    <col min="32" max="32" width="11" style="64" customWidth="1"/>
    <col min="33" max="16384" width="9.08984375" style="64"/>
  </cols>
  <sheetData>
    <row r="1" spans="1:24" ht="75" customHeight="1" x14ac:dyDescent="0.3">
      <c r="A1" s="63"/>
      <c r="B1" s="63"/>
      <c r="C1" s="63"/>
      <c r="D1" s="63"/>
      <c r="E1" s="63"/>
      <c r="F1" s="63"/>
      <c r="G1" s="63"/>
      <c r="H1" s="63"/>
      <c r="I1" s="63"/>
      <c r="J1" s="63"/>
      <c r="K1" s="63"/>
      <c r="L1" s="63"/>
      <c r="M1" s="63"/>
      <c r="N1" s="63"/>
      <c r="O1" s="63"/>
      <c r="P1" s="63"/>
      <c r="Q1" s="63"/>
      <c r="R1" s="63"/>
      <c r="S1" s="63"/>
      <c r="T1" s="63"/>
      <c r="U1" s="63"/>
      <c r="V1" s="63"/>
      <c r="W1" s="63"/>
      <c r="X1" s="63"/>
    </row>
    <row r="2" spans="1:24" ht="15" customHeight="1" x14ac:dyDescent="0.3">
      <c r="A2" s="69"/>
      <c r="B2" s="69"/>
      <c r="C2" s="69"/>
      <c r="D2" s="69"/>
      <c r="E2" s="69"/>
      <c r="F2" s="69"/>
      <c r="G2" s="69"/>
      <c r="H2" s="69"/>
      <c r="I2" s="69"/>
      <c r="J2" s="69"/>
      <c r="K2" s="69"/>
      <c r="L2" s="69"/>
      <c r="M2" s="69"/>
      <c r="N2" s="69"/>
      <c r="O2" s="69"/>
      <c r="P2" s="69"/>
      <c r="Q2" s="69"/>
      <c r="R2" s="69"/>
      <c r="S2" s="69"/>
      <c r="T2" s="69"/>
      <c r="U2" s="69"/>
      <c r="V2" s="69"/>
      <c r="W2" s="69"/>
      <c r="X2" s="69"/>
    </row>
    <row r="3" spans="1:24" s="67" customFormat="1" ht="30.75" customHeight="1" x14ac:dyDescent="0.35">
      <c r="A3" s="65"/>
      <c r="B3" s="96"/>
      <c r="C3" s="65"/>
      <c r="D3" s="65"/>
      <c r="E3" s="65"/>
      <c r="F3" s="65"/>
      <c r="G3" s="65"/>
      <c r="H3" s="65"/>
      <c r="I3" s="65"/>
      <c r="J3" s="65"/>
      <c r="K3" s="65"/>
      <c r="L3" s="65"/>
      <c r="M3" s="65"/>
      <c r="N3" s="65"/>
      <c r="O3" s="65"/>
      <c r="P3" s="65"/>
      <c r="Q3" s="65"/>
      <c r="R3" s="65"/>
      <c r="S3" s="65"/>
      <c r="T3" s="65"/>
      <c r="U3" s="65"/>
      <c r="V3" s="65"/>
      <c r="W3" s="229" t="str">
        <f>'Front Cover'!Y3</f>
        <v>December 2024</v>
      </c>
      <c r="X3" s="65"/>
    </row>
    <row r="4" spans="1:24" ht="18.75" customHeight="1" x14ac:dyDescent="0.3">
      <c r="A4" s="15"/>
      <c r="B4" s="100" t="s">
        <v>276</v>
      </c>
      <c r="C4" s="8"/>
      <c r="D4" s="8"/>
      <c r="E4" s="8"/>
      <c r="F4" s="8"/>
      <c r="G4" s="8"/>
      <c r="H4" s="8"/>
      <c r="I4" s="8"/>
      <c r="J4" s="8"/>
      <c r="K4" s="8"/>
      <c r="L4" s="8"/>
      <c r="M4" s="8"/>
      <c r="N4" s="8"/>
      <c r="O4" s="8"/>
      <c r="P4" s="8"/>
      <c r="Q4" s="8"/>
      <c r="R4" s="8"/>
      <c r="S4" s="8"/>
      <c r="T4" s="8"/>
      <c r="U4" s="8"/>
      <c r="V4" s="8"/>
      <c r="W4" s="8"/>
      <c r="X4" s="15"/>
    </row>
    <row r="5" spans="1:24" ht="5.25" customHeight="1" x14ac:dyDescent="0.3">
      <c r="A5" s="15"/>
      <c r="B5" s="8"/>
      <c r="C5" s="8"/>
      <c r="D5" s="8"/>
      <c r="E5" s="8"/>
      <c r="F5" s="8"/>
      <c r="G5" s="8"/>
      <c r="H5" s="8"/>
      <c r="I5" s="8"/>
      <c r="J5" s="8"/>
      <c r="K5" s="8"/>
      <c r="L5" s="8"/>
      <c r="M5" s="8"/>
      <c r="N5" s="8"/>
      <c r="O5" s="8"/>
      <c r="P5" s="8"/>
      <c r="Q5" s="8"/>
      <c r="R5" s="8"/>
      <c r="S5" s="8"/>
      <c r="T5" s="8"/>
      <c r="U5" s="8"/>
      <c r="V5" s="8"/>
      <c r="W5" s="8"/>
      <c r="X5" s="15"/>
    </row>
    <row r="6" spans="1:24" x14ac:dyDescent="0.3">
      <c r="A6" s="15"/>
      <c r="B6" s="8"/>
      <c r="C6" s="8"/>
      <c r="D6" s="8"/>
      <c r="E6" s="8"/>
      <c r="F6" s="8"/>
      <c r="G6" s="8"/>
      <c r="H6" s="8"/>
      <c r="I6" s="8"/>
      <c r="J6" s="8"/>
      <c r="K6" s="8"/>
      <c r="L6" s="8"/>
      <c r="M6" s="8"/>
      <c r="N6" s="8"/>
      <c r="O6" s="8"/>
      <c r="P6" s="8"/>
      <c r="Q6" s="8"/>
      <c r="R6" s="8"/>
      <c r="S6" s="8"/>
      <c r="T6" s="8"/>
      <c r="U6" s="8"/>
      <c r="V6" s="8"/>
      <c r="W6" s="8"/>
      <c r="X6" s="15"/>
    </row>
    <row r="7" spans="1:24" ht="18.75" customHeight="1" x14ac:dyDescent="0.3">
      <c r="A7" s="15"/>
      <c r="B7" s="52" t="s">
        <v>277</v>
      </c>
      <c r="C7" s="8"/>
      <c r="D7" s="8"/>
      <c r="E7" s="8"/>
      <c r="F7" s="8"/>
      <c r="G7" s="8"/>
      <c r="H7" s="8"/>
      <c r="I7" s="8"/>
      <c r="J7" s="8"/>
      <c r="K7" s="8"/>
      <c r="L7" s="8"/>
      <c r="M7" s="8"/>
      <c r="N7" s="8"/>
      <c r="O7" s="8"/>
      <c r="P7" s="8"/>
      <c r="Q7" s="8"/>
      <c r="R7" s="8"/>
      <c r="S7" s="8"/>
      <c r="T7" s="8"/>
      <c r="U7" s="8"/>
      <c r="V7" s="8"/>
      <c r="W7" s="8"/>
      <c r="X7" s="15"/>
    </row>
    <row r="8" spans="1:24" ht="5.25" customHeight="1" x14ac:dyDescent="0.3">
      <c r="A8" s="15"/>
      <c r="B8" s="8"/>
      <c r="C8" s="8"/>
      <c r="D8" s="8"/>
      <c r="E8" s="8"/>
      <c r="F8" s="8"/>
      <c r="G8" s="8"/>
      <c r="H8" s="8"/>
      <c r="I8" s="8"/>
      <c r="J8" s="8"/>
      <c r="K8" s="8"/>
      <c r="L8" s="8"/>
      <c r="M8" s="8"/>
      <c r="N8" s="8"/>
      <c r="O8" s="8"/>
      <c r="P8" s="8"/>
      <c r="Q8" s="8"/>
      <c r="R8" s="8"/>
      <c r="S8" s="8"/>
      <c r="T8" s="8"/>
      <c r="U8" s="8"/>
      <c r="V8" s="8"/>
      <c r="W8" s="8"/>
      <c r="X8" s="15"/>
    </row>
    <row r="9" spans="1:24" ht="45" customHeight="1" x14ac:dyDescent="0.3">
      <c r="A9" s="15"/>
      <c r="B9" s="423" t="s">
        <v>278</v>
      </c>
      <c r="C9" s="423"/>
      <c r="D9" s="423"/>
      <c r="E9" s="423"/>
      <c r="F9" s="423"/>
      <c r="G9" s="423"/>
      <c r="H9" s="54"/>
      <c r="I9" s="423" t="s">
        <v>279</v>
      </c>
      <c r="J9" s="423"/>
      <c r="K9" s="423"/>
      <c r="L9" s="423"/>
      <c r="M9" s="423"/>
      <c r="N9" s="423"/>
      <c r="O9" s="423"/>
      <c r="P9" s="423"/>
      <c r="Q9" s="423"/>
      <c r="R9" s="423"/>
      <c r="S9" s="423"/>
      <c r="T9" s="8"/>
      <c r="U9" s="8"/>
      <c r="V9" s="8"/>
      <c r="W9" s="8"/>
      <c r="X9" s="15"/>
    </row>
    <row r="10" spans="1:24" ht="5.25" customHeight="1" x14ac:dyDescent="0.3">
      <c r="A10" s="15"/>
      <c r="B10" s="8"/>
      <c r="C10" s="8"/>
      <c r="D10" s="8"/>
      <c r="E10" s="8"/>
      <c r="F10" s="8"/>
      <c r="G10" s="8"/>
      <c r="H10" s="8"/>
      <c r="I10" s="8"/>
      <c r="J10" s="8"/>
      <c r="K10" s="8"/>
      <c r="L10" s="8"/>
      <c r="M10" s="8"/>
      <c r="N10" s="8"/>
      <c r="O10" s="8"/>
      <c r="P10" s="8"/>
      <c r="Q10" s="8"/>
      <c r="R10" s="8"/>
      <c r="S10" s="8"/>
      <c r="T10" s="8"/>
      <c r="U10" s="8"/>
      <c r="V10" s="8"/>
      <c r="W10" s="8"/>
      <c r="X10" s="15"/>
    </row>
    <row r="11" spans="1:24" ht="44.25" customHeight="1" x14ac:dyDescent="0.3">
      <c r="A11" s="15"/>
      <c r="B11" s="424" t="s">
        <v>280</v>
      </c>
      <c r="C11" s="424"/>
      <c r="D11" s="424"/>
      <c r="E11" s="424"/>
      <c r="F11" s="424"/>
      <c r="G11" s="424"/>
      <c r="H11" s="9"/>
      <c r="I11" s="425" t="s">
        <v>281</v>
      </c>
      <c r="J11" s="425"/>
      <c r="K11" s="425"/>
      <c r="L11" s="425"/>
      <c r="M11" s="425"/>
      <c r="N11" s="425"/>
      <c r="O11" s="425"/>
      <c r="P11" s="425"/>
      <c r="Q11" s="425"/>
      <c r="R11" s="425"/>
      <c r="S11" s="425"/>
      <c r="T11" s="8"/>
      <c r="U11" s="8"/>
      <c r="V11" s="8"/>
      <c r="W11" s="8"/>
      <c r="X11" s="15"/>
    </row>
    <row r="12" spans="1:24" ht="45.75" customHeight="1" x14ac:dyDescent="0.3">
      <c r="A12" s="15"/>
      <c r="B12" s="424" t="s">
        <v>280</v>
      </c>
      <c r="C12" s="424"/>
      <c r="D12" s="424"/>
      <c r="E12" s="424"/>
      <c r="F12" s="424"/>
      <c r="G12" s="424"/>
      <c r="H12" s="9"/>
      <c r="I12" s="426" t="s">
        <v>282</v>
      </c>
      <c r="J12" s="426"/>
      <c r="K12" s="426"/>
      <c r="L12" s="426"/>
      <c r="M12" s="426"/>
      <c r="N12" s="426"/>
      <c r="O12" s="426"/>
      <c r="P12" s="426"/>
      <c r="Q12" s="426"/>
      <c r="R12" s="426"/>
      <c r="S12" s="426"/>
      <c r="T12" s="8"/>
      <c r="U12" s="8"/>
      <c r="V12" s="8"/>
      <c r="W12" s="8"/>
      <c r="X12" s="15"/>
    </row>
    <row r="13" spans="1:24" ht="60.75" customHeight="1" x14ac:dyDescent="0.3">
      <c r="A13" s="15"/>
      <c r="B13" s="424" t="s">
        <v>280</v>
      </c>
      <c r="C13" s="424"/>
      <c r="D13" s="424"/>
      <c r="E13" s="424"/>
      <c r="F13" s="424"/>
      <c r="G13" s="424"/>
      <c r="H13" s="9"/>
      <c r="I13" s="425" t="s">
        <v>283</v>
      </c>
      <c r="J13" s="425"/>
      <c r="K13" s="425"/>
      <c r="L13" s="425"/>
      <c r="M13" s="425"/>
      <c r="N13" s="425"/>
      <c r="O13" s="425"/>
      <c r="P13" s="425"/>
      <c r="Q13" s="425"/>
      <c r="R13" s="425"/>
      <c r="S13" s="425"/>
      <c r="T13" s="9"/>
      <c r="U13" s="9"/>
      <c r="V13" s="9"/>
      <c r="W13" s="9"/>
      <c r="X13" s="15"/>
    </row>
    <row r="14" spans="1:24" x14ac:dyDescent="0.3">
      <c r="A14" s="15"/>
      <c r="B14" s="9"/>
      <c r="C14" s="9"/>
      <c r="D14" s="9"/>
      <c r="E14" s="9"/>
      <c r="F14" s="9"/>
      <c r="G14" s="9"/>
      <c r="H14" s="9"/>
      <c r="I14" s="9"/>
      <c r="J14" s="9"/>
      <c r="K14" s="9"/>
      <c r="L14" s="9"/>
      <c r="M14" s="9"/>
      <c r="N14" s="9"/>
      <c r="O14" s="9"/>
      <c r="P14" s="9"/>
      <c r="Q14" s="9"/>
      <c r="R14" s="9"/>
      <c r="S14" s="9"/>
      <c r="T14" s="9"/>
      <c r="U14" s="9"/>
      <c r="V14" s="9"/>
      <c r="W14" s="9"/>
      <c r="X14" s="15"/>
    </row>
    <row r="15" spans="1:24" x14ac:dyDescent="0.3">
      <c r="A15" s="15"/>
      <c r="B15" s="9"/>
      <c r="C15" s="9"/>
      <c r="D15" s="9"/>
      <c r="E15" s="9"/>
      <c r="F15" s="9"/>
      <c r="G15" s="9"/>
      <c r="H15" s="9"/>
      <c r="I15" s="9"/>
      <c r="J15" s="9"/>
      <c r="K15" s="9"/>
      <c r="L15" s="9"/>
      <c r="M15" s="9"/>
      <c r="N15" s="9"/>
      <c r="O15" s="9"/>
      <c r="P15" s="9"/>
      <c r="Q15" s="9"/>
      <c r="R15" s="9"/>
      <c r="S15" s="9"/>
      <c r="T15" s="9"/>
      <c r="U15" s="9"/>
      <c r="V15" s="9"/>
      <c r="W15" s="9"/>
      <c r="X15" s="15"/>
    </row>
    <row r="16" spans="1:24" x14ac:dyDescent="0.3">
      <c r="A16" s="15"/>
      <c r="B16" s="9"/>
      <c r="C16" s="9"/>
      <c r="D16" s="9"/>
      <c r="E16" s="9"/>
      <c r="F16" s="9"/>
      <c r="G16" s="9"/>
      <c r="H16" s="9"/>
      <c r="I16" s="9"/>
      <c r="J16" s="9"/>
      <c r="K16" s="9"/>
      <c r="L16" s="9"/>
      <c r="M16" s="9"/>
      <c r="N16" s="9"/>
      <c r="O16" s="9"/>
      <c r="P16" s="9"/>
      <c r="Q16" s="9"/>
      <c r="R16" s="9"/>
      <c r="S16" s="9"/>
      <c r="T16" s="9"/>
      <c r="U16" s="9"/>
      <c r="V16" s="9"/>
      <c r="W16" s="9"/>
      <c r="X16" s="15"/>
    </row>
    <row r="17" spans="1:24" x14ac:dyDescent="0.3">
      <c r="A17" s="15"/>
      <c r="B17" s="9"/>
      <c r="C17" s="9"/>
      <c r="D17" s="9"/>
      <c r="E17" s="9"/>
      <c r="F17" s="9"/>
      <c r="G17" s="9"/>
      <c r="H17" s="9"/>
      <c r="I17" s="9"/>
      <c r="J17" s="9"/>
      <c r="K17" s="9"/>
      <c r="L17" s="9"/>
      <c r="M17" s="9"/>
      <c r="N17" s="9"/>
      <c r="O17" s="9"/>
      <c r="P17" s="9"/>
      <c r="Q17" s="9"/>
      <c r="R17" s="9"/>
      <c r="S17" s="9"/>
      <c r="T17" s="9"/>
      <c r="U17" s="9"/>
      <c r="V17" s="9"/>
      <c r="W17" s="9"/>
      <c r="X17" s="15"/>
    </row>
    <row r="18" spans="1:24" x14ac:dyDescent="0.3">
      <c r="A18" s="15"/>
      <c r="B18" s="9"/>
      <c r="C18" s="9"/>
      <c r="D18" s="9"/>
      <c r="E18" s="9"/>
      <c r="F18" s="9"/>
      <c r="G18" s="9"/>
      <c r="H18" s="9"/>
      <c r="I18" s="9"/>
      <c r="J18" s="9"/>
      <c r="K18" s="9"/>
      <c r="L18" s="9"/>
      <c r="M18" s="9"/>
      <c r="N18" s="9"/>
      <c r="O18" s="9"/>
      <c r="P18" s="9"/>
      <c r="Q18" s="9"/>
      <c r="R18" s="9"/>
      <c r="S18" s="9"/>
      <c r="T18" s="9"/>
      <c r="U18" s="9"/>
      <c r="V18" s="9"/>
      <c r="W18" s="9"/>
      <c r="X18" s="15"/>
    </row>
    <row r="19" spans="1:24" x14ac:dyDescent="0.3">
      <c r="A19" s="15"/>
      <c r="B19" s="9"/>
      <c r="C19" s="9"/>
      <c r="D19" s="9"/>
      <c r="E19" s="9"/>
      <c r="F19" s="9"/>
      <c r="G19" s="9"/>
      <c r="H19" s="9"/>
      <c r="I19" s="9"/>
      <c r="J19" s="9"/>
      <c r="K19" s="9"/>
      <c r="L19" s="9"/>
      <c r="M19" s="9"/>
      <c r="N19" s="9"/>
      <c r="O19" s="9"/>
      <c r="P19" s="9"/>
      <c r="Q19" s="9"/>
      <c r="R19" s="9"/>
      <c r="S19" s="9"/>
      <c r="T19" s="9"/>
      <c r="U19" s="9"/>
      <c r="V19" s="9"/>
      <c r="W19" s="9"/>
      <c r="X19" s="15"/>
    </row>
    <row r="20" spans="1:24" x14ac:dyDescent="0.3">
      <c r="A20" s="15"/>
      <c r="B20" s="9"/>
      <c r="C20" s="9"/>
      <c r="D20" s="9"/>
      <c r="E20" s="9"/>
      <c r="F20" s="9"/>
      <c r="G20" s="9"/>
      <c r="H20" s="9"/>
      <c r="I20" s="9"/>
      <c r="J20" s="9"/>
      <c r="K20" s="9"/>
      <c r="L20" s="9"/>
      <c r="M20" s="9"/>
      <c r="N20" s="9"/>
      <c r="O20" s="9"/>
      <c r="P20" s="9"/>
      <c r="Q20" s="9"/>
      <c r="R20" s="9"/>
      <c r="S20" s="9"/>
      <c r="T20" s="9"/>
      <c r="U20" s="9"/>
      <c r="V20" s="9"/>
      <c r="W20" s="9"/>
      <c r="X20" s="15"/>
    </row>
    <row r="21" spans="1:24" x14ac:dyDescent="0.3">
      <c r="A21" s="15"/>
      <c r="B21" s="9"/>
      <c r="C21" s="9"/>
      <c r="D21" s="9"/>
      <c r="E21" s="9"/>
      <c r="F21" s="9"/>
      <c r="G21" s="9"/>
      <c r="H21" s="9"/>
      <c r="I21" s="9"/>
      <c r="J21" s="9"/>
      <c r="K21" s="9"/>
      <c r="L21" s="9"/>
      <c r="M21" s="9"/>
      <c r="N21" s="9"/>
      <c r="O21" s="9"/>
      <c r="P21" s="9"/>
      <c r="Q21" s="9"/>
      <c r="R21" s="9"/>
      <c r="S21" s="9"/>
      <c r="T21" s="9"/>
      <c r="U21" s="9"/>
      <c r="V21" s="9"/>
      <c r="W21" s="9"/>
      <c r="X21" s="15"/>
    </row>
    <row r="22" spans="1:24" x14ac:dyDescent="0.3">
      <c r="A22" s="15"/>
      <c r="B22" s="9"/>
      <c r="C22" s="9"/>
      <c r="D22" s="9"/>
      <c r="E22" s="9"/>
      <c r="F22" s="9"/>
      <c r="G22" s="9"/>
      <c r="H22" s="9"/>
      <c r="I22" s="9"/>
      <c r="J22" s="9"/>
      <c r="K22" s="9"/>
      <c r="L22" s="9"/>
      <c r="M22" s="9"/>
      <c r="N22" s="9"/>
      <c r="O22" s="9"/>
      <c r="P22" s="9"/>
      <c r="Q22" s="9"/>
      <c r="R22" s="9"/>
      <c r="S22" s="9"/>
      <c r="T22" s="9"/>
      <c r="U22" s="9"/>
      <c r="V22" s="9"/>
      <c r="W22" s="9"/>
      <c r="X22" s="15"/>
    </row>
    <row r="23" spans="1:24" x14ac:dyDescent="0.3">
      <c r="A23" s="15"/>
      <c r="B23" s="9"/>
      <c r="C23" s="9"/>
      <c r="D23" s="9"/>
      <c r="E23" s="9"/>
      <c r="F23" s="9"/>
      <c r="G23" s="9"/>
      <c r="H23" s="9"/>
      <c r="I23" s="9"/>
      <c r="J23" s="9"/>
      <c r="K23" s="9"/>
      <c r="L23" s="9"/>
      <c r="M23" s="9"/>
      <c r="N23" s="9"/>
      <c r="O23" s="9"/>
      <c r="P23" s="9"/>
      <c r="Q23" s="9"/>
      <c r="R23" s="9"/>
      <c r="S23" s="9"/>
      <c r="T23" s="9"/>
      <c r="U23" s="9"/>
      <c r="V23" s="9"/>
      <c r="W23" s="9"/>
      <c r="X23" s="15"/>
    </row>
    <row r="24" spans="1:24" x14ac:dyDescent="0.3">
      <c r="A24" s="15"/>
      <c r="B24" s="9"/>
      <c r="C24" s="9"/>
      <c r="D24" s="9"/>
      <c r="E24" s="9"/>
      <c r="F24" s="9"/>
      <c r="G24" s="9"/>
      <c r="H24" s="9"/>
      <c r="I24" s="9"/>
      <c r="J24" s="9"/>
      <c r="K24" s="9"/>
      <c r="L24" s="9"/>
      <c r="M24" s="9"/>
      <c r="N24" s="9"/>
      <c r="O24" s="9"/>
      <c r="P24" s="9"/>
      <c r="Q24" s="9"/>
      <c r="R24" s="9"/>
      <c r="S24" s="9"/>
      <c r="T24" s="9"/>
      <c r="U24" s="9"/>
      <c r="V24" s="9"/>
      <c r="W24" s="9"/>
      <c r="X24" s="15"/>
    </row>
    <row r="25" spans="1:24" x14ac:dyDescent="0.3">
      <c r="A25" s="15"/>
      <c r="B25" s="9"/>
      <c r="C25" s="9"/>
      <c r="D25" s="9"/>
      <c r="E25" s="9"/>
      <c r="F25" s="9"/>
      <c r="G25" s="9"/>
      <c r="H25" s="9"/>
      <c r="I25" s="9"/>
      <c r="J25" s="9"/>
      <c r="K25" s="9"/>
      <c r="L25" s="9"/>
      <c r="M25" s="9"/>
      <c r="N25" s="9"/>
      <c r="O25" s="9"/>
      <c r="P25" s="9"/>
      <c r="Q25" s="9"/>
      <c r="R25" s="9"/>
      <c r="S25" s="9"/>
      <c r="T25" s="9"/>
      <c r="U25" s="9"/>
      <c r="V25" s="9"/>
      <c r="W25" s="9"/>
      <c r="X25" s="15"/>
    </row>
    <row r="26" spans="1:24" x14ac:dyDescent="0.3">
      <c r="A26" s="15"/>
      <c r="B26" s="9"/>
      <c r="C26" s="9"/>
      <c r="D26" s="9"/>
      <c r="E26" s="9"/>
      <c r="F26" s="9"/>
      <c r="G26" s="9"/>
      <c r="H26" s="9"/>
      <c r="I26" s="9"/>
      <c r="J26" s="9"/>
      <c r="K26" s="9"/>
      <c r="L26" s="9"/>
      <c r="M26" s="9"/>
      <c r="N26" s="9"/>
      <c r="O26" s="9"/>
      <c r="P26" s="9"/>
      <c r="Q26" s="9"/>
      <c r="R26" s="9"/>
      <c r="S26" s="9"/>
      <c r="T26" s="9"/>
      <c r="U26" s="9"/>
      <c r="V26" s="9"/>
      <c r="W26" s="9"/>
      <c r="X26" s="15"/>
    </row>
    <row r="27" spans="1:24" x14ac:dyDescent="0.3">
      <c r="A27" s="15"/>
      <c r="B27" s="9"/>
      <c r="C27" s="9"/>
      <c r="D27" s="9"/>
      <c r="E27" s="9"/>
      <c r="F27" s="9"/>
      <c r="G27" s="9"/>
      <c r="H27" s="9"/>
      <c r="I27" s="9"/>
      <c r="J27" s="9"/>
      <c r="K27" s="9"/>
      <c r="L27" s="9"/>
      <c r="M27" s="9"/>
      <c r="N27" s="9"/>
      <c r="O27" s="9"/>
      <c r="P27" s="9"/>
      <c r="Q27" s="9"/>
      <c r="R27" s="9"/>
      <c r="S27" s="9"/>
      <c r="T27" s="9"/>
      <c r="U27" s="9"/>
      <c r="V27" s="9"/>
      <c r="W27" s="9"/>
      <c r="X27" s="15"/>
    </row>
    <row r="28" spans="1:24" x14ac:dyDescent="0.3">
      <c r="A28" s="15"/>
      <c r="B28" s="9"/>
      <c r="C28" s="9"/>
      <c r="D28" s="9"/>
      <c r="E28" s="9"/>
      <c r="F28" s="9"/>
      <c r="G28" s="9"/>
      <c r="H28" s="9"/>
      <c r="I28" s="9"/>
      <c r="J28" s="9"/>
      <c r="K28" s="9"/>
      <c r="L28" s="9"/>
      <c r="M28" s="9"/>
      <c r="N28" s="9"/>
      <c r="O28" s="9"/>
      <c r="P28" s="9"/>
      <c r="Q28" s="9"/>
      <c r="R28" s="9"/>
      <c r="S28" s="9"/>
      <c r="T28" s="9"/>
      <c r="U28" s="9"/>
      <c r="V28" s="9"/>
      <c r="W28" s="9"/>
      <c r="X28" s="15"/>
    </row>
    <row r="29" spans="1:24" x14ac:dyDescent="0.3">
      <c r="A29" s="15"/>
      <c r="B29" s="9"/>
      <c r="C29" s="9"/>
      <c r="D29" s="9"/>
      <c r="E29" s="9"/>
      <c r="F29" s="9"/>
      <c r="G29" s="9"/>
      <c r="H29" s="9"/>
      <c r="I29" s="9"/>
      <c r="J29" s="9"/>
      <c r="K29" s="9"/>
      <c r="L29" s="9"/>
      <c r="M29" s="9"/>
      <c r="N29" s="9"/>
      <c r="O29" s="9"/>
      <c r="P29" s="9"/>
      <c r="Q29" s="9"/>
      <c r="R29" s="9"/>
      <c r="S29" s="9"/>
      <c r="T29" s="9"/>
      <c r="U29" s="9"/>
      <c r="V29" s="9"/>
      <c r="W29" s="9"/>
      <c r="X29" s="15"/>
    </row>
    <row r="30" spans="1:24" x14ac:dyDescent="0.3">
      <c r="A30" s="15"/>
      <c r="B30" s="9"/>
      <c r="C30" s="9"/>
      <c r="D30" s="9"/>
      <c r="E30" s="9"/>
      <c r="F30" s="9"/>
      <c r="G30" s="9"/>
      <c r="H30" s="9"/>
      <c r="I30" s="9"/>
      <c r="J30" s="9"/>
      <c r="K30" s="9"/>
      <c r="L30" s="9"/>
      <c r="M30" s="9"/>
      <c r="N30" s="9"/>
      <c r="O30" s="9"/>
      <c r="P30" s="9"/>
      <c r="Q30" s="9"/>
      <c r="R30" s="9"/>
      <c r="S30" s="9"/>
      <c r="T30" s="9"/>
      <c r="U30" s="9"/>
      <c r="V30" s="9"/>
      <c r="W30" s="9"/>
      <c r="X30" s="15"/>
    </row>
    <row r="31" spans="1:24" x14ac:dyDescent="0.3">
      <c r="A31" s="15"/>
      <c r="B31" s="9"/>
      <c r="C31" s="9"/>
      <c r="D31" s="9"/>
      <c r="E31" s="9"/>
      <c r="F31" s="9"/>
      <c r="G31" s="9"/>
      <c r="H31" s="9"/>
      <c r="I31" s="9"/>
      <c r="J31" s="9"/>
      <c r="K31" s="9"/>
      <c r="L31" s="9"/>
      <c r="M31" s="9"/>
      <c r="N31" s="9"/>
      <c r="O31" s="9"/>
      <c r="P31" s="9"/>
      <c r="Q31" s="9"/>
      <c r="R31" s="9"/>
      <c r="S31" s="9"/>
      <c r="T31" s="9"/>
      <c r="U31" s="9"/>
      <c r="V31" s="9"/>
      <c r="W31" s="9"/>
      <c r="X31" s="15"/>
    </row>
    <row r="32" spans="1:24" x14ac:dyDescent="0.3">
      <c r="A32" s="15"/>
      <c r="B32" s="9"/>
      <c r="C32" s="9"/>
      <c r="D32" s="9"/>
      <c r="E32" s="9"/>
      <c r="F32" s="9"/>
      <c r="G32" s="9"/>
      <c r="H32" s="9"/>
      <c r="I32" s="9"/>
      <c r="J32" s="9"/>
      <c r="K32" s="9"/>
      <c r="L32" s="9"/>
      <c r="M32" s="9"/>
      <c r="N32" s="9"/>
      <c r="O32" s="9"/>
      <c r="P32" s="9"/>
      <c r="Q32" s="9"/>
      <c r="R32" s="9"/>
      <c r="S32" s="9"/>
      <c r="T32" s="9"/>
      <c r="U32" s="9"/>
      <c r="V32" s="9"/>
      <c r="W32" s="9"/>
      <c r="X32" s="15"/>
    </row>
    <row r="33" spans="1:24" x14ac:dyDescent="0.3">
      <c r="A33" s="15"/>
      <c r="B33" s="9"/>
      <c r="C33" s="9"/>
      <c r="D33" s="9"/>
      <c r="E33" s="9"/>
      <c r="F33" s="9"/>
      <c r="G33" s="9"/>
      <c r="H33" s="9"/>
      <c r="I33" s="9"/>
      <c r="J33" s="9"/>
      <c r="K33" s="9"/>
      <c r="L33" s="9"/>
      <c r="M33" s="9"/>
      <c r="N33" s="9"/>
      <c r="O33" s="9"/>
      <c r="P33" s="9"/>
      <c r="Q33" s="9"/>
      <c r="R33" s="9"/>
      <c r="S33" s="9"/>
      <c r="T33" s="9"/>
      <c r="U33" s="9"/>
      <c r="V33" s="9"/>
      <c r="W33" s="9"/>
      <c r="X33" s="15"/>
    </row>
    <row r="34" spans="1:24" x14ac:dyDescent="0.3">
      <c r="A34" s="15"/>
      <c r="B34" s="9"/>
      <c r="C34" s="9"/>
      <c r="D34" s="9"/>
      <c r="E34" s="9"/>
      <c r="F34" s="9"/>
      <c r="G34" s="9"/>
      <c r="H34" s="9"/>
      <c r="I34" s="9"/>
      <c r="J34" s="9"/>
      <c r="K34" s="9"/>
      <c r="L34" s="9"/>
      <c r="M34" s="9"/>
      <c r="N34" s="9"/>
      <c r="O34" s="9"/>
      <c r="P34" s="9"/>
      <c r="Q34" s="9"/>
      <c r="R34" s="9"/>
      <c r="S34" s="9"/>
      <c r="T34" s="9"/>
      <c r="U34" s="9"/>
      <c r="V34" s="9"/>
      <c r="W34" s="9"/>
      <c r="X34" s="15"/>
    </row>
    <row r="35" spans="1:24" x14ac:dyDescent="0.3">
      <c r="A35" s="15"/>
      <c r="B35" s="9"/>
      <c r="C35" s="9"/>
      <c r="D35" s="9"/>
      <c r="E35" s="9"/>
      <c r="F35" s="9"/>
      <c r="G35" s="9"/>
      <c r="H35" s="9"/>
      <c r="I35" s="9"/>
      <c r="J35" s="9"/>
      <c r="K35" s="9"/>
      <c r="L35" s="9"/>
      <c r="M35" s="9"/>
      <c r="N35" s="9"/>
      <c r="O35" s="9"/>
      <c r="P35" s="9"/>
      <c r="Q35" s="9"/>
      <c r="R35" s="9"/>
      <c r="S35" s="9"/>
      <c r="T35" s="9"/>
      <c r="U35" s="9"/>
      <c r="V35" s="9"/>
      <c r="W35" s="9"/>
      <c r="X35" s="15"/>
    </row>
    <row r="36" spans="1:24" x14ac:dyDescent="0.3">
      <c r="A36" s="15"/>
      <c r="B36" s="9"/>
      <c r="C36" s="9"/>
      <c r="D36" s="9"/>
      <c r="E36" s="9"/>
      <c r="F36" s="9"/>
      <c r="G36" s="9"/>
      <c r="H36" s="9"/>
      <c r="I36" s="9"/>
      <c r="J36" s="9"/>
      <c r="K36" s="9"/>
      <c r="L36" s="9"/>
      <c r="M36" s="9"/>
      <c r="N36" s="9"/>
      <c r="O36" s="9"/>
      <c r="P36" s="9"/>
      <c r="Q36" s="9"/>
      <c r="R36" s="9"/>
      <c r="S36" s="9"/>
      <c r="T36" s="9"/>
      <c r="U36" s="9"/>
      <c r="V36" s="9"/>
      <c r="W36" s="9"/>
      <c r="X36" s="15"/>
    </row>
    <row r="37" spans="1:24" x14ac:dyDescent="0.3">
      <c r="A37" s="15"/>
      <c r="B37" s="9"/>
      <c r="C37" s="9"/>
      <c r="D37" s="9"/>
      <c r="E37" s="9"/>
      <c r="F37" s="9"/>
      <c r="G37" s="9"/>
      <c r="H37" s="9"/>
      <c r="I37" s="9"/>
      <c r="J37" s="9"/>
      <c r="K37" s="9"/>
      <c r="L37" s="9"/>
      <c r="M37" s="9"/>
      <c r="N37" s="9"/>
      <c r="O37" s="9"/>
      <c r="P37" s="9"/>
      <c r="Q37" s="9"/>
      <c r="R37" s="9"/>
      <c r="S37" s="9"/>
      <c r="T37" s="9"/>
      <c r="U37" s="9"/>
      <c r="V37" s="9"/>
      <c r="W37" s="9"/>
      <c r="X37" s="15"/>
    </row>
    <row r="38" spans="1:24" x14ac:dyDescent="0.3">
      <c r="A38" s="15"/>
      <c r="B38" s="9"/>
      <c r="C38" s="9"/>
      <c r="D38" s="9"/>
      <c r="E38" s="9"/>
      <c r="F38" s="9"/>
      <c r="G38" s="9"/>
      <c r="H38" s="9"/>
      <c r="I38" s="9"/>
      <c r="J38" s="9"/>
      <c r="K38" s="9"/>
      <c r="L38" s="9"/>
      <c r="M38" s="9"/>
      <c r="N38" s="9"/>
      <c r="O38" s="9"/>
      <c r="P38" s="9"/>
      <c r="Q38" s="9"/>
      <c r="R38" s="9"/>
      <c r="S38" s="9"/>
      <c r="T38" s="9"/>
      <c r="U38" s="9"/>
      <c r="V38" s="9"/>
      <c r="W38" s="9"/>
      <c r="X38" s="15"/>
    </row>
    <row r="39" spans="1:24" x14ac:dyDescent="0.3">
      <c r="A39" s="15"/>
      <c r="B39" s="9"/>
      <c r="C39" s="9"/>
      <c r="D39" s="9"/>
      <c r="E39" s="9"/>
      <c r="F39" s="9"/>
      <c r="G39" s="9"/>
      <c r="H39" s="9"/>
      <c r="I39" s="9"/>
      <c r="J39" s="9"/>
      <c r="K39" s="9"/>
      <c r="L39" s="9"/>
      <c r="M39" s="9"/>
      <c r="N39" s="9"/>
      <c r="O39" s="9"/>
      <c r="P39" s="9"/>
      <c r="Q39" s="9"/>
      <c r="R39" s="9"/>
      <c r="S39" s="9"/>
      <c r="T39" s="9"/>
      <c r="U39" s="9"/>
      <c r="V39" s="9"/>
      <c r="W39" s="9"/>
      <c r="X39" s="15"/>
    </row>
    <row r="40" spans="1:24" x14ac:dyDescent="0.3">
      <c r="A40" s="15"/>
      <c r="B40" s="9"/>
      <c r="C40" s="9"/>
      <c r="D40" s="9"/>
      <c r="E40" s="9"/>
      <c r="F40" s="9"/>
      <c r="G40" s="9"/>
      <c r="H40" s="9"/>
      <c r="I40" s="9"/>
      <c r="J40" s="9"/>
      <c r="K40" s="9"/>
      <c r="L40" s="9"/>
      <c r="M40" s="9"/>
      <c r="N40" s="9"/>
      <c r="O40" s="9"/>
      <c r="P40" s="9"/>
      <c r="Q40" s="9"/>
      <c r="R40" s="9"/>
      <c r="S40" s="9"/>
      <c r="T40" s="9"/>
      <c r="U40" s="9"/>
      <c r="V40" s="9"/>
      <c r="W40" s="9"/>
      <c r="X40" s="15"/>
    </row>
    <row r="41" spans="1:24" x14ac:dyDescent="0.3">
      <c r="A41" s="15"/>
      <c r="B41" s="9"/>
      <c r="C41" s="9"/>
      <c r="D41" s="9"/>
      <c r="E41" s="9"/>
      <c r="F41" s="9"/>
      <c r="G41" s="9"/>
      <c r="H41" s="9"/>
      <c r="I41" s="9"/>
      <c r="J41" s="9"/>
      <c r="K41" s="9"/>
      <c r="L41" s="9"/>
      <c r="M41" s="9"/>
      <c r="N41" s="9"/>
      <c r="O41" s="9"/>
      <c r="P41" s="9"/>
      <c r="Q41" s="9"/>
      <c r="R41" s="9"/>
      <c r="S41" s="9"/>
      <c r="T41" s="9"/>
      <c r="U41" s="9"/>
      <c r="V41" s="9"/>
      <c r="W41" s="9"/>
      <c r="X41" s="15"/>
    </row>
    <row r="42" spans="1:24" x14ac:dyDescent="0.3">
      <c r="A42" s="15"/>
      <c r="B42" s="9"/>
      <c r="C42" s="9"/>
      <c r="D42" s="9"/>
      <c r="E42" s="9"/>
      <c r="F42" s="9"/>
      <c r="G42" s="9"/>
      <c r="H42" s="9"/>
      <c r="I42" s="9"/>
      <c r="J42" s="9"/>
      <c r="K42" s="9"/>
      <c r="L42" s="9"/>
      <c r="M42" s="9"/>
      <c r="N42" s="9"/>
      <c r="O42" s="9"/>
      <c r="P42" s="9"/>
      <c r="Q42" s="9"/>
      <c r="R42" s="9"/>
      <c r="S42" s="9"/>
      <c r="T42" s="9"/>
      <c r="U42" s="9"/>
      <c r="V42" s="9"/>
      <c r="W42" s="9"/>
      <c r="X42" s="15"/>
    </row>
    <row r="43" spans="1:24" x14ac:dyDescent="0.3">
      <c r="A43" s="15"/>
      <c r="B43" s="9"/>
      <c r="C43" s="9"/>
      <c r="D43" s="9"/>
      <c r="E43" s="9"/>
      <c r="F43" s="9"/>
      <c r="G43" s="9"/>
      <c r="H43" s="9"/>
      <c r="I43" s="9"/>
      <c r="J43" s="9"/>
      <c r="K43" s="9"/>
      <c r="L43" s="9"/>
      <c r="M43" s="9"/>
      <c r="N43" s="9"/>
      <c r="O43" s="9"/>
      <c r="P43" s="9"/>
      <c r="Q43" s="9"/>
      <c r="R43" s="9"/>
      <c r="S43" s="9"/>
      <c r="T43" s="9"/>
      <c r="U43" s="9"/>
      <c r="V43" s="9"/>
      <c r="W43" s="9"/>
      <c r="X43" s="15"/>
    </row>
    <row r="44" spans="1:24" x14ac:dyDescent="0.3">
      <c r="A44" s="15"/>
      <c r="B44" s="9"/>
      <c r="C44" s="9"/>
      <c r="D44" s="9"/>
      <c r="E44" s="9"/>
      <c r="F44" s="9"/>
      <c r="G44" s="9"/>
      <c r="H44" s="9"/>
      <c r="I44" s="9"/>
      <c r="J44" s="9"/>
      <c r="K44" s="9"/>
      <c r="L44" s="9"/>
      <c r="M44" s="9"/>
      <c r="N44" s="9"/>
      <c r="O44" s="9"/>
      <c r="P44" s="9"/>
      <c r="Q44" s="9"/>
      <c r="R44" s="9"/>
      <c r="S44" s="9"/>
      <c r="T44" s="9"/>
      <c r="U44" s="9"/>
      <c r="V44" s="9"/>
      <c r="W44" s="9"/>
      <c r="X44" s="15"/>
    </row>
    <row r="45" spans="1:24" x14ac:dyDescent="0.3">
      <c r="A45" s="15"/>
      <c r="B45" s="9"/>
      <c r="C45" s="9"/>
      <c r="D45" s="9"/>
      <c r="E45" s="9"/>
      <c r="F45" s="9"/>
      <c r="G45" s="9"/>
      <c r="H45" s="9"/>
      <c r="I45" s="9"/>
      <c r="J45" s="9"/>
      <c r="K45" s="9"/>
      <c r="L45" s="9"/>
      <c r="M45" s="9"/>
      <c r="N45" s="9"/>
      <c r="O45" s="9"/>
      <c r="P45" s="9"/>
      <c r="Q45" s="9"/>
      <c r="R45" s="9"/>
      <c r="S45" s="9"/>
      <c r="T45" s="9"/>
      <c r="U45" s="9"/>
      <c r="V45" s="9"/>
      <c r="W45" s="9"/>
      <c r="X45" s="15"/>
    </row>
    <row r="46" spans="1:24" x14ac:dyDescent="0.3">
      <c r="A46" s="15"/>
      <c r="B46" s="9"/>
      <c r="C46" s="9"/>
      <c r="D46" s="9"/>
      <c r="E46" s="9"/>
      <c r="F46" s="9"/>
      <c r="G46" s="9"/>
      <c r="H46" s="9"/>
      <c r="I46" s="9"/>
      <c r="J46" s="9"/>
      <c r="K46" s="9"/>
      <c r="L46" s="9"/>
      <c r="M46" s="9"/>
      <c r="N46" s="9"/>
      <c r="O46" s="9"/>
      <c r="P46" s="9"/>
      <c r="Q46" s="9"/>
      <c r="R46" s="9"/>
      <c r="S46" s="9"/>
      <c r="T46" s="9"/>
      <c r="U46" s="9"/>
      <c r="V46" s="9"/>
      <c r="W46" s="9"/>
      <c r="X46" s="15"/>
    </row>
    <row r="47" spans="1:24" x14ac:dyDescent="0.3">
      <c r="A47" s="15"/>
      <c r="B47" s="9"/>
      <c r="C47" s="9"/>
      <c r="D47" s="9"/>
      <c r="E47" s="9"/>
      <c r="F47" s="9"/>
      <c r="G47" s="9"/>
      <c r="H47" s="9"/>
      <c r="I47" s="9"/>
      <c r="J47" s="9"/>
      <c r="K47" s="9"/>
      <c r="L47" s="9"/>
      <c r="M47" s="9"/>
      <c r="N47" s="9"/>
      <c r="O47" s="9"/>
      <c r="P47" s="9"/>
      <c r="Q47" s="9"/>
      <c r="R47" s="9"/>
      <c r="S47" s="9"/>
      <c r="T47" s="9"/>
      <c r="U47" s="9"/>
      <c r="V47" s="9"/>
      <c r="W47" s="9"/>
      <c r="X47" s="15"/>
    </row>
    <row r="48" spans="1:24" x14ac:dyDescent="0.3">
      <c r="A48" s="15"/>
      <c r="B48" s="9"/>
      <c r="C48" s="9"/>
      <c r="D48" s="9"/>
      <c r="E48" s="9"/>
      <c r="F48" s="9"/>
      <c r="G48" s="9"/>
      <c r="H48" s="9"/>
      <c r="I48" s="9"/>
      <c r="J48" s="9"/>
      <c r="K48" s="9"/>
      <c r="L48" s="9"/>
      <c r="M48" s="9"/>
      <c r="N48" s="9"/>
      <c r="O48" s="9"/>
      <c r="P48" s="9"/>
      <c r="Q48" s="9"/>
      <c r="R48" s="9"/>
      <c r="S48" s="9"/>
      <c r="T48" s="9"/>
      <c r="U48" s="9"/>
      <c r="V48" s="9"/>
      <c r="W48" s="9"/>
      <c r="X48" s="15"/>
    </row>
    <row r="49" spans="1:24" x14ac:dyDescent="0.3">
      <c r="A49" s="15"/>
      <c r="B49" s="9"/>
      <c r="C49" s="9"/>
      <c r="D49" s="9"/>
      <c r="E49" s="9"/>
      <c r="F49" s="9"/>
      <c r="G49" s="9"/>
      <c r="H49" s="9"/>
      <c r="I49" s="9"/>
      <c r="J49" s="9"/>
      <c r="K49" s="9"/>
      <c r="L49" s="9"/>
      <c r="M49" s="9"/>
      <c r="N49" s="9"/>
      <c r="O49" s="9"/>
      <c r="P49" s="9"/>
      <c r="Q49" s="9"/>
      <c r="R49" s="9"/>
      <c r="S49" s="9"/>
      <c r="T49" s="9"/>
      <c r="U49" s="9"/>
      <c r="V49" s="9"/>
      <c r="W49" s="9"/>
      <c r="X49" s="15"/>
    </row>
    <row r="50" spans="1:24" x14ac:dyDescent="0.3">
      <c r="A50" s="15"/>
      <c r="B50" s="9"/>
      <c r="C50" s="9"/>
      <c r="D50" s="9"/>
      <c r="E50" s="9"/>
      <c r="F50" s="9"/>
      <c r="G50" s="9"/>
      <c r="H50" s="9"/>
      <c r="I50" s="9"/>
      <c r="J50" s="9"/>
      <c r="K50" s="9"/>
      <c r="L50" s="9"/>
      <c r="M50" s="9"/>
      <c r="N50" s="9"/>
      <c r="O50" s="9"/>
      <c r="P50" s="9"/>
      <c r="Q50" s="9"/>
      <c r="R50" s="9"/>
      <c r="S50" s="9"/>
      <c r="T50" s="9"/>
      <c r="U50" s="9"/>
      <c r="V50" s="9"/>
      <c r="W50" s="9"/>
      <c r="X50" s="15"/>
    </row>
    <row r="51" spans="1:24" x14ac:dyDescent="0.3">
      <c r="A51" s="15"/>
      <c r="B51" s="9"/>
      <c r="C51" s="9"/>
      <c r="D51" s="9"/>
      <c r="E51" s="9"/>
      <c r="F51" s="9"/>
      <c r="G51" s="9"/>
      <c r="H51" s="9"/>
      <c r="I51" s="9"/>
      <c r="J51" s="9"/>
      <c r="K51" s="9"/>
      <c r="L51" s="9"/>
      <c r="M51" s="9"/>
      <c r="N51" s="9"/>
      <c r="O51" s="9"/>
      <c r="P51" s="9"/>
      <c r="Q51" s="9"/>
      <c r="R51" s="9"/>
      <c r="S51" s="9"/>
      <c r="T51" s="9"/>
      <c r="U51" s="9"/>
      <c r="V51" s="9"/>
      <c r="W51" s="9"/>
      <c r="X51" s="15"/>
    </row>
    <row r="52" spans="1:24" x14ac:dyDescent="0.3">
      <c r="A52" s="15"/>
      <c r="B52" s="9"/>
      <c r="C52" s="9"/>
      <c r="D52" s="9"/>
      <c r="E52" s="9"/>
      <c r="F52" s="9"/>
      <c r="G52" s="9"/>
      <c r="H52" s="9"/>
      <c r="I52" s="9"/>
      <c r="J52" s="9"/>
      <c r="K52" s="9"/>
      <c r="L52" s="9"/>
      <c r="M52" s="9"/>
      <c r="N52" s="9"/>
      <c r="O52" s="9"/>
      <c r="P52" s="9"/>
      <c r="Q52" s="9"/>
      <c r="R52" s="9"/>
      <c r="S52" s="9"/>
      <c r="T52" s="9"/>
      <c r="U52" s="9"/>
      <c r="V52" s="9"/>
      <c r="W52" s="9"/>
      <c r="X52" s="15"/>
    </row>
    <row r="53" spans="1:24" x14ac:dyDescent="0.3">
      <c r="A53" s="15"/>
      <c r="B53" s="9"/>
      <c r="C53" s="9"/>
      <c r="D53" s="9"/>
      <c r="E53" s="9"/>
      <c r="F53" s="9"/>
      <c r="G53" s="9"/>
      <c r="H53" s="9"/>
      <c r="I53" s="9"/>
      <c r="J53" s="9"/>
      <c r="K53" s="9"/>
      <c r="L53" s="9"/>
      <c r="M53" s="9"/>
      <c r="N53" s="9"/>
      <c r="O53" s="9"/>
      <c r="P53" s="9"/>
      <c r="Q53" s="9"/>
      <c r="R53" s="9"/>
      <c r="S53" s="9"/>
      <c r="T53" s="9"/>
      <c r="U53" s="9"/>
      <c r="V53" s="9"/>
      <c r="W53" s="9"/>
      <c r="X53" s="15"/>
    </row>
    <row r="54" spans="1:24" x14ac:dyDescent="0.3">
      <c r="A54" s="15"/>
      <c r="B54" s="9"/>
      <c r="C54" s="9"/>
      <c r="D54" s="9"/>
      <c r="E54" s="9"/>
      <c r="F54" s="9"/>
      <c r="G54" s="9"/>
      <c r="H54" s="9"/>
      <c r="I54" s="9"/>
      <c r="J54" s="9"/>
      <c r="K54" s="9"/>
      <c r="L54" s="9"/>
      <c r="M54" s="9"/>
      <c r="N54" s="9"/>
      <c r="O54" s="9"/>
      <c r="P54" s="9"/>
      <c r="Q54" s="9"/>
      <c r="R54" s="9"/>
      <c r="S54" s="9"/>
      <c r="T54" s="9"/>
      <c r="U54" s="9"/>
      <c r="V54" s="9"/>
      <c r="W54" s="9"/>
      <c r="X54" s="15"/>
    </row>
    <row r="55" spans="1:24" x14ac:dyDescent="0.3">
      <c r="A55" s="15"/>
      <c r="B55" s="9"/>
      <c r="C55" s="9"/>
      <c r="D55" s="9"/>
      <c r="E55" s="9"/>
      <c r="F55" s="9"/>
      <c r="G55" s="9"/>
      <c r="H55" s="9"/>
      <c r="I55" s="9"/>
      <c r="J55" s="9"/>
      <c r="K55" s="9"/>
      <c r="L55" s="9"/>
      <c r="M55" s="9"/>
      <c r="N55" s="9"/>
      <c r="O55" s="9"/>
      <c r="P55" s="9"/>
      <c r="Q55" s="9"/>
      <c r="R55" s="9"/>
      <c r="S55" s="9"/>
      <c r="T55" s="9"/>
      <c r="U55" s="9"/>
      <c r="V55" s="9"/>
      <c r="W55" s="9"/>
      <c r="X55" s="15"/>
    </row>
    <row r="56" spans="1:24" x14ac:dyDescent="0.3">
      <c r="A56" s="15"/>
      <c r="B56" s="9"/>
      <c r="C56" s="9"/>
      <c r="D56" s="9"/>
      <c r="E56" s="9"/>
      <c r="F56" s="9"/>
      <c r="G56" s="9"/>
      <c r="H56" s="9"/>
      <c r="I56" s="9"/>
      <c r="J56" s="9"/>
      <c r="K56" s="9"/>
      <c r="L56" s="9"/>
      <c r="M56" s="9"/>
      <c r="N56" s="9"/>
      <c r="O56" s="9"/>
      <c r="P56" s="9"/>
      <c r="Q56" s="9"/>
      <c r="R56" s="9"/>
      <c r="S56" s="9"/>
      <c r="T56" s="9"/>
      <c r="U56" s="9"/>
      <c r="V56" s="9"/>
      <c r="W56" s="9"/>
      <c r="X56" s="15"/>
    </row>
    <row r="57" spans="1:24" x14ac:dyDescent="0.3">
      <c r="A57" s="15"/>
      <c r="B57" s="9"/>
      <c r="C57" s="9"/>
      <c r="D57" s="9"/>
      <c r="E57" s="9"/>
      <c r="F57" s="9"/>
      <c r="G57" s="9"/>
      <c r="H57" s="9"/>
      <c r="I57" s="9"/>
      <c r="J57" s="9"/>
      <c r="K57" s="9"/>
      <c r="L57" s="9"/>
      <c r="M57" s="9"/>
      <c r="N57" s="9"/>
      <c r="O57" s="9"/>
      <c r="P57" s="9"/>
      <c r="Q57" s="9"/>
      <c r="R57" s="9"/>
      <c r="S57" s="9"/>
      <c r="T57" s="9"/>
      <c r="U57" s="9"/>
      <c r="V57" s="9"/>
      <c r="W57" s="9"/>
      <c r="X57" s="15"/>
    </row>
    <row r="58" spans="1:24" x14ac:dyDescent="0.3">
      <c r="A58" s="15"/>
      <c r="B58" s="9"/>
      <c r="C58" s="9"/>
      <c r="D58" s="9"/>
      <c r="E58" s="9"/>
      <c r="F58" s="9"/>
      <c r="G58" s="9"/>
      <c r="H58" s="9"/>
      <c r="I58" s="9"/>
      <c r="J58" s="9"/>
      <c r="K58" s="9"/>
      <c r="L58" s="9"/>
      <c r="M58" s="9"/>
      <c r="N58" s="9"/>
      <c r="O58" s="9"/>
      <c r="P58" s="9"/>
      <c r="Q58" s="9"/>
      <c r="R58" s="9"/>
      <c r="S58" s="9"/>
      <c r="T58" s="9"/>
      <c r="U58" s="9"/>
      <c r="V58" s="9"/>
      <c r="W58" s="9"/>
      <c r="X58" s="15"/>
    </row>
    <row r="59" spans="1:24" x14ac:dyDescent="0.3">
      <c r="A59" s="15"/>
      <c r="B59" s="9"/>
      <c r="C59" s="9"/>
      <c r="D59" s="9"/>
      <c r="E59" s="9"/>
      <c r="F59" s="9"/>
      <c r="G59" s="9"/>
      <c r="H59" s="9"/>
      <c r="I59" s="9"/>
      <c r="J59" s="9"/>
      <c r="K59" s="9"/>
      <c r="L59" s="9"/>
      <c r="M59" s="9"/>
      <c r="N59" s="9"/>
      <c r="O59" s="9"/>
      <c r="P59" s="9"/>
      <c r="Q59" s="9"/>
      <c r="R59" s="9"/>
      <c r="S59" s="9"/>
      <c r="T59" s="9"/>
      <c r="U59" s="9"/>
      <c r="V59" s="9"/>
      <c r="W59" s="9"/>
      <c r="X59" s="15"/>
    </row>
    <row r="60" spans="1:24" x14ac:dyDescent="0.3">
      <c r="A60" s="15"/>
      <c r="B60" s="9"/>
      <c r="C60" s="9"/>
      <c r="D60" s="9"/>
      <c r="E60" s="9"/>
      <c r="F60" s="9"/>
      <c r="G60" s="9"/>
      <c r="H60" s="9"/>
      <c r="I60" s="9"/>
      <c r="J60" s="9"/>
      <c r="K60" s="9"/>
      <c r="L60" s="9"/>
      <c r="M60" s="9"/>
      <c r="N60" s="9"/>
      <c r="O60" s="9"/>
      <c r="P60" s="9"/>
      <c r="Q60" s="9"/>
      <c r="R60" s="9"/>
      <c r="S60" s="9"/>
      <c r="T60" s="9"/>
      <c r="U60" s="9"/>
      <c r="V60" s="9"/>
      <c r="W60" s="9"/>
      <c r="X60" s="15"/>
    </row>
    <row r="61" spans="1:24" x14ac:dyDescent="0.3">
      <c r="A61" s="15"/>
      <c r="B61" s="9"/>
      <c r="C61" s="9"/>
      <c r="D61" s="9"/>
      <c r="E61" s="9"/>
      <c r="F61" s="9"/>
      <c r="G61" s="9"/>
      <c r="H61" s="9"/>
      <c r="I61" s="9"/>
      <c r="J61" s="9"/>
      <c r="K61" s="9"/>
      <c r="L61" s="9"/>
      <c r="M61" s="9"/>
      <c r="N61" s="9"/>
      <c r="O61" s="9"/>
      <c r="P61" s="9"/>
      <c r="Q61" s="9"/>
      <c r="R61" s="9"/>
      <c r="S61" s="9"/>
      <c r="T61" s="9"/>
      <c r="U61" s="9"/>
      <c r="V61" s="9"/>
      <c r="W61" s="9"/>
      <c r="X61" s="15"/>
    </row>
    <row r="62" spans="1:24" x14ac:dyDescent="0.3">
      <c r="A62" s="15"/>
      <c r="B62" s="9"/>
      <c r="C62" s="9"/>
      <c r="D62" s="9"/>
      <c r="E62" s="9"/>
      <c r="F62" s="9"/>
      <c r="G62" s="9"/>
      <c r="H62" s="9"/>
      <c r="I62" s="9"/>
      <c r="J62" s="9"/>
      <c r="K62" s="9"/>
      <c r="L62" s="9"/>
      <c r="M62" s="9"/>
      <c r="N62" s="9"/>
      <c r="O62" s="9"/>
      <c r="P62" s="9"/>
      <c r="Q62" s="9"/>
      <c r="R62" s="9"/>
      <c r="S62" s="9"/>
      <c r="T62" s="9"/>
      <c r="U62" s="9"/>
      <c r="V62" s="9"/>
      <c r="W62" s="9"/>
      <c r="X62" s="15"/>
    </row>
    <row r="63" spans="1:24" x14ac:dyDescent="0.3">
      <c r="A63" s="15"/>
      <c r="B63" s="9"/>
      <c r="C63" s="9"/>
      <c r="D63" s="9"/>
      <c r="E63" s="9"/>
      <c r="F63" s="9"/>
      <c r="G63" s="9"/>
      <c r="H63" s="9"/>
      <c r="I63" s="9"/>
      <c r="J63" s="9"/>
      <c r="K63" s="9"/>
      <c r="L63" s="9"/>
      <c r="M63" s="9"/>
      <c r="N63" s="9"/>
      <c r="O63" s="9"/>
      <c r="P63" s="9"/>
      <c r="Q63" s="9"/>
      <c r="R63" s="9"/>
      <c r="S63" s="9"/>
      <c r="T63" s="9"/>
      <c r="U63" s="9"/>
      <c r="V63" s="9"/>
      <c r="W63" s="9"/>
      <c r="X63" s="15"/>
    </row>
    <row r="64" spans="1:24" x14ac:dyDescent="0.3">
      <c r="A64" s="15"/>
      <c r="B64" s="9"/>
      <c r="C64" s="9"/>
      <c r="D64" s="9"/>
      <c r="E64" s="9"/>
      <c r="F64" s="9"/>
      <c r="G64" s="9"/>
      <c r="H64" s="9"/>
      <c r="I64" s="9"/>
      <c r="J64" s="9"/>
      <c r="K64" s="9"/>
      <c r="L64" s="9"/>
      <c r="M64" s="9"/>
      <c r="N64" s="9"/>
      <c r="O64" s="9"/>
      <c r="P64" s="9"/>
      <c r="Q64" s="9"/>
      <c r="R64" s="9"/>
      <c r="S64" s="9"/>
      <c r="T64" s="9"/>
      <c r="U64" s="9"/>
      <c r="V64" s="9"/>
      <c r="W64" s="9"/>
      <c r="X64" s="15"/>
    </row>
    <row r="65" spans="1:24" x14ac:dyDescent="0.3">
      <c r="A65" s="15"/>
      <c r="B65" s="9"/>
      <c r="C65" s="9"/>
      <c r="D65" s="9"/>
      <c r="E65" s="9"/>
      <c r="F65" s="9"/>
      <c r="G65" s="9"/>
      <c r="H65" s="9"/>
      <c r="I65" s="9"/>
      <c r="J65" s="9"/>
      <c r="K65" s="9"/>
      <c r="L65" s="9"/>
      <c r="M65" s="9"/>
      <c r="N65" s="9"/>
      <c r="O65" s="9"/>
      <c r="P65" s="9"/>
      <c r="Q65" s="9"/>
      <c r="R65" s="9"/>
      <c r="S65" s="9"/>
      <c r="T65" s="9"/>
      <c r="U65" s="9"/>
      <c r="V65" s="9"/>
      <c r="W65" s="9"/>
      <c r="X65" s="15"/>
    </row>
    <row r="66" spans="1:24" x14ac:dyDescent="0.3">
      <c r="A66" s="15"/>
      <c r="B66" s="9"/>
      <c r="C66" s="9"/>
      <c r="D66" s="9"/>
      <c r="E66" s="9"/>
      <c r="F66" s="9"/>
      <c r="G66" s="9"/>
      <c r="H66" s="9"/>
      <c r="I66" s="9"/>
      <c r="J66" s="9"/>
      <c r="K66" s="9"/>
      <c r="L66" s="9"/>
      <c r="M66" s="9"/>
      <c r="N66" s="9"/>
      <c r="O66" s="9"/>
      <c r="P66" s="9"/>
      <c r="Q66" s="9"/>
      <c r="R66" s="9"/>
      <c r="S66" s="9"/>
      <c r="T66" s="9"/>
      <c r="U66" s="9"/>
      <c r="V66" s="9"/>
      <c r="W66" s="9"/>
      <c r="X66" s="15"/>
    </row>
  </sheetData>
  <sheetProtection algorithmName="SHA-512" hashValue="jvZfGMbznUc76WEq0ZZRwlKmhV9OacvxvUxiPtq6/eMuQ03YSw2esbyvSE2AAZ0IpDlXQMyPLl0hFFzXunibww==" saltValue="p0FSjYqac9V85eGU2I02sA==" spinCount="100000" sheet="1" objects="1" scenarios="1"/>
  <mergeCells count="8">
    <mergeCell ref="B9:G9"/>
    <mergeCell ref="I9:S9"/>
    <mergeCell ref="B13:G13"/>
    <mergeCell ref="I13:S13"/>
    <mergeCell ref="B11:G11"/>
    <mergeCell ref="I11:S11"/>
    <mergeCell ref="B12:G12"/>
    <mergeCell ref="I12:S12"/>
  </mergeCells>
  <printOptions gridLines="1"/>
  <pageMargins left="0" right="0" top="0" bottom="0" header="0.3" footer="0.3"/>
  <pageSetup scale="4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0EA5-E415-422D-8D2F-20F5324365FC}">
  <sheetPr>
    <tabColor theme="1"/>
  </sheetPr>
  <dimension ref="A1:X15"/>
  <sheetViews>
    <sheetView showGridLines="0" zoomScaleNormal="100" workbookViewId="0">
      <selection activeCell="B7" sqref="B7:N7"/>
    </sheetView>
  </sheetViews>
  <sheetFormatPr defaultRowHeight="14.5" x14ac:dyDescent="0.35"/>
  <cols>
    <col min="1" max="1" width="4.36328125" customWidth="1"/>
  </cols>
  <sheetData>
    <row r="1" spans="1:24" s="64" customFormat="1" ht="75" customHeight="1" x14ac:dyDescent="0.3">
      <c r="A1" s="63"/>
      <c r="B1" s="63"/>
      <c r="C1" s="63"/>
      <c r="D1" s="63"/>
      <c r="E1" s="63"/>
      <c r="F1" s="63"/>
      <c r="G1" s="63"/>
      <c r="H1" s="63"/>
      <c r="I1" s="63"/>
      <c r="J1" s="63"/>
      <c r="K1" s="63"/>
      <c r="L1" s="63"/>
      <c r="M1" s="63"/>
      <c r="N1" s="63"/>
      <c r="O1" s="63"/>
      <c r="P1" s="63"/>
      <c r="Q1" s="63"/>
      <c r="R1" s="63"/>
      <c r="S1" s="63"/>
      <c r="T1" s="63"/>
      <c r="U1" s="63"/>
      <c r="V1" s="63"/>
      <c r="W1" s="63"/>
      <c r="X1" s="63"/>
    </row>
    <row r="4" spans="1:24" s="70" customFormat="1" ht="30.75" customHeight="1" x14ac:dyDescent="0.35">
      <c r="A4" s="69"/>
      <c r="B4" s="413" t="s">
        <v>666</v>
      </c>
      <c r="C4" s="414"/>
      <c r="D4" s="414"/>
      <c r="E4" s="414"/>
      <c r="F4" s="414"/>
      <c r="G4" s="414"/>
      <c r="H4" s="414"/>
      <c r="I4" s="414"/>
      <c r="J4" s="414"/>
      <c r="K4" s="414"/>
      <c r="L4" s="414"/>
      <c r="M4" s="414"/>
      <c r="N4" s="414"/>
      <c r="O4" s="69"/>
      <c r="P4" s="69"/>
      <c r="Q4" s="69"/>
      <c r="R4" s="69"/>
      <c r="S4" s="69"/>
      <c r="T4" s="69"/>
      <c r="U4" s="69"/>
      <c r="V4" s="69"/>
      <c r="W4" s="69"/>
      <c r="X4" s="69"/>
    </row>
    <row r="5" spans="1:24" s="64" customFormat="1" ht="151.5" customHeight="1" x14ac:dyDescent="0.3">
      <c r="A5" s="15"/>
      <c r="B5" s="276" t="s">
        <v>645</v>
      </c>
      <c r="C5" s="276"/>
      <c r="D5" s="276"/>
      <c r="E5" s="276"/>
      <c r="F5" s="276"/>
      <c r="G5" s="276"/>
      <c r="H5" s="276"/>
      <c r="I5" s="276"/>
      <c r="J5" s="276"/>
      <c r="K5" s="276"/>
      <c r="L5" s="276"/>
      <c r="M5" s="276"/>
      <c r="N5" s="276"/>
      <c r="O5" s="59"/>
      <c r="P5" s="59"/>
      <c r="Q5" s="59"/>
      <c r="R5" s="59"/>
      <c r="S5" s="59"/>
      <c r="T5" s="59"/>
      <c r="U5" s="59"/>
      <c r="V5" s="59"/>
      <c r="W5" s="59"/>
      <c r="X5" s="15"/>
    </row>
    <row r="7" spans="1:24" s="64" customFormat="1" ht="164.25" customHeight="1" x14ac:dyDescent="0.3">
      <c r="A7" s="15"/>
      <c r="B7" s="276" t="s">
        <v>667</v>
      </c>
      <c r="C7" s="276"/>
      <c r="D7" s="276"/>
      <c r="E7" s="276"/>
      <c r="F7" s="276"/>
      <c r="G7" s="276"/>
      <c r="H7" s="276"/>
      <c r="I7" s="276"/>
      <c r="J7" s="276"/>
      <c r="K7" s="276"/>
      <c r="L7" s="276"/>
      <c r="M7" s="276"/>
      <c r="N7" s="276"/>
      <c r="P7" s="15"/>
      <c r="Q7" s="15"/>
      <c r="R7" s="15"/>
      <c r="S7" s="15"/>
      <c r="T7" s="15"/>
      <c r="U7" s="15"/>
      <c r="V7" s="15"/>
      <c r="W7" s="15"/>
      <c r="X7" s="15"/>
    </row>
    <row r="9" spans="1:24" s="64" customFormat="1" ht="195.75" customHeight="1" x14ac:dyDescent="0.3">
      <c r="A9" s="15"/>
      <c r="B9" s="276" t="s">
        <v>646</v>
      </c>
      <c r="C9" s="276"/>
      <c r="D9" s="276"/>
      <c r="E9" s="276"/>
      <c r="F9" s="276"/>
      <c r="G9" s="276"/>
      <c r="H9" s="276"/>
      <c r="I9" s="276"/>
      <c r="J9" s="276"/>
      <c r="K9" s="276"/>
      <c r="L9" s="276"/>
      <c r="M9" s="276"/>
      <c r="N9" s="276"/>
      <c r="O9" s="15"/>
      <c r="P9" s="15"/>
      <c r="Q9" s="15"/>
      <c r="R9" s="15"/>
      <c r="S9" s="15"/>
      <c r="T9" s="15"/>
      <c r="U9" s="15"/>
      <c r="V9" s="15"/>
      <c r="W9" s="15"/>
      <c r="X9" s="15"/>
    </row>
    <row r="11" spans="1:24" s="64" customFormat="1" ht="80.400000000000006" customHeight="1" x14ac:dyDescent="0.3">
      <c r="A11" s="15"/>
      <c r="B11" s="276" t="s">
        <v>647</v>
      </c>
      <c r="C11" s="276"/>
      <c r="D11" s="276"/>
      <c r="E11" s="276"/>
      <c r="F11" s="276"/>
      <c r="G11" s="276"/>
      <c r="H11" s="276"/>
      <c r="I11" s="276"/>
      <c r="J11" s="276"/>
      <c r="K11" s="276"/>
      <c r="L11" s="276"/>
      <c r="M11" s="276"/>
      <c r="N11" s="276"/>
      <c r="O11" s="15"/>
      <c r="P11" s="15"/>
      <c r="Q11" s="15"/>
      <c r="R11" s="15"/>
      <c r="S11" s="15"/>
      <c r="T11" s="15"/>
      <c r="U11" s="15"/>
      <c r="V11" s="15"/>
      <c r="W11" s="15"/>
      <c r="X11" s="15"/>
    </row>
    <row r="13" spans="1:24" s="64" customFormat="1" ht="82.25" customHeight="1" x14ac:dyDescent="0.3">
      <c r="A13" s="15"/>
      <c r="B13" s="276" t="s">
        <v>648</v>
      </c>
      <c r="C13" s="276"/>
      <c r="D13" s="276"/>
      <c r="E13" s="276"/>
      <c r="F13" s="276"/>
      <c r="G13" s="276"/>
      <c r="H13" s="276"/>
      <c r="I13" s="276"/>
      <c r="J13" s="276"/>
      <c r="K13" s="276"/>
      <c r="L13" s="276"/>
      <c r="M13" s="276"/>
      <c r="N13" s="276"/>
      <c r="O13" s="15"/>
      <c r="P13" s="15"/>
      <c r="Q13" s="15"/>
      <c r="R13" s="15"/>
      <c r="S13" s="15"/>
      <c r="T13" s="15"/>
      <c r="U13" s="15"/>
      <c r="V13" s="15"/>
      <c r="W13" s="15"/>
      <c r="X13" s="15"/>
    </row>
    <row r="15" spans="1:24" s="67" customFormat="1" ht="183" customHeight="1" x14ac:dyDescent="0.35">
      <c r="A15" s="65"/>
      <c r="B15" s="276" t="s">
        <v>665</v>
      </c>
      <c r="C15" s="276"/>
      <c r="D15" s="276"/>
      <c r="E15" s="276"/>
      <c r="F15" s="276"/>
      <c r="G15" s="276"/>
      <c r="H15" s="276"/>
      <c r="I15" s="276"/>
      <c r="J15" s="276"/>
      <c r="K15" s="276"/>
      <c r="L15" s="276"/>
      <c r="M15" s="276"/>
      <c r="N15" s="276"/>
      <c r="O15" s="65"/>
      <c r="P15" s="65"/>
      <c r="Q15" s="65"/>
      <c r="R15" s="65"/>
      <c r="S15" s="65"/>
      <c r="T15" s="65"/>
      <c r="U15" s="65"/>
      <c r="V15" s="65"/>
      <c r="W15" s="65"/>
      <c r="X15" s="65"/>
    </row>
  </sheetData>
  <sheetProtection algorithmName="SHA-512" hashValue="f5bJf1d5uMScdZC4eEpe0D30EWY1KOU6uJ5pXhv0mIYiQtjTpMpQ8CEZ1lv0aGGyUDeQFhBWQSIGlRHXIRU9Pg==" saltValue="6iVK/YbDg+yl3jmeXejDwQ==" spinCount="100000" sheet="1" objects="1" scenarios="1"/>
  <mergeCells count="7">
    <mergeCell ref="B4:N4"/>
    <mergeCell ref="B15:N15"/>
    <mergeCell ref="B5:N5"/>
    <mergeCell ref="B7:N7"/>
    <mergeCell ref="B9:N9"/>
    <mergeCell ref="B11:N11"/>
    <mergeCell ref="B13:N1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38D-44D2-4A1E-AF87-DC0FB1808590}">
  <sheetPr>
    <tabColor theme="1"/>
    <pageSetUpPr fitToPage="1"/>
  </sheetPr>
  <dimension ref="A1:X68"/>
  <sheetViews>
    <sheetView zoomScale="85" zoomScaleNormal="85" workbookViewId="0">
      <selection activeCell="I15" sqref="I15"/>
    </sheetView>
  </sheetViews>
  <sheetFormatPr defaultColWidth="9.08984375" defaultRowHeight="14" x14ac:dyDescent="0.3"/>
  <cols>
    <col min="1" max="1" width="5.6328125" style="64" customWidth="1"/>
    <col min="2" max="4" width="5.453125" style="64" customWidth="1"/>
    <col min="5" max="5" width="14.08984375" style="64" customWidth="1"/>
    <col min="6" max="6" width="15.6328125" style="64" customWidth="1"/>
    <col min="7" max="7" width="13.36328125" style="64" customWidth="1"/>
    <col min="8" max="8" width="1.54296875" style="64" customWidth="1"/>
    <col min="9" max="9" width="42.36328125" style="64" customWidth="1"/>
    <col min="10" max="10" width="1.453125" style="64" customWidth="1"/>
    <col min="11" max="11" width="42.36328125" style="64" customWidth="1"/>
    <col min="12" max="12" width="2.90625" style="64" customWidth="1"/>
    <col min="13" max="13" width="20.90625" style="64" customWidth="1"/>
    <col min="14" max="14" width="5.6328125" style="64" customWidth="1"/>
    <col min="15" max="15" width="35.54296875" style="64" customWidth="1"/>
    <col min="16" max="16" width="2.90625" style="64" customWidth="1"/>
    <col min="17" max="17" width="14.36328125" style="64" customWidth="1"/>
    <col min="18" max="18" width="2.90625" style="64" customWidth="1"/>
    <col min="19" max="19" width="11.453125" style="64" customWidth="1"/>
    <col min="20" max="20" width="2.90625" style="64" customWidth="1"/>
    <col min="21" max="23" width="16.36328125" style="64" customWidth="1"/>
    <col min="24" max="24" width="5.6328125" style="64" customWidth="1"/>
    <col min="25" max="25" width="9.08984375" style="64"/>
    <col min="26" max="26" width="14" style="64" customWidth="1"/>
    <col min="27" max="27" width="22.6328125" style="64" customWidth="1"/>
    <col min="28" max="28" width="16.453125" style="64" customWidth="1"/>
    <col min="29" max="29" width="9.08984375" style="64"/>
    <col min="30" max="30" width="13" style="64" customWidth="1"/>
    <col min="31" max="31" width="9.08984375" style="64"/>
    <col min="32" max="32" width="11" style="64" customWidth="1"/>
    <col min="33" max="16384" width="9.08984375" style="64"/>
  </cols>
  <sheetData>
    <row r="1" spans="1:24" ht="75" customHeight="1" x14ac:dyDescent="0.3">
      <c r="A1" s="63"/>
      <c r="B1" s="63"/>
      <c r="C1" s="63"/>
      <c r="D1" s="63"/>
      <c r="E1" s="63"/>
      <c r="F1" s="63"/>
      <c r="G1" s="63"/>
      <c r="H1" s="63"/>
      <c r="I1" s="63"/>
      <c r="J1" s="63"/>
      <c r="K1" s="63"/>
      <c r="L1" s="63"/>
      <c r="M1" s="63"/>
      <c r="N1" s="63"/>
      <c r="O1" s="63"/>
      <c r="P1" s="63"/>
      <c r="Q1" s="63"/>
      <c r="R1" s="63"/>
      <c r="S1" s="63"/>
      <c r="T1" s="63"/>
      <c r="U1" s="63"/>
      <c r="V1" s="63"/>
      <c r="W1" s="63"/>
      <c r="X1" s="63"/>
    </row>
    <row r="2" spans="1:24" ht="15" customHeight="1" x14ac:dyDescent="0.3">
      <c r="A2" s="69"/>
      <c r="B2" s="69"/>
      <c r="C2" s="69"/>
      <c r="D2" s="69"/>
      <c r="E2" s="69"/>
      <c r="F2" s="69"/>
      <c r="G2" s="69"/>
      <c r="H2" s="69"/>
      <c r="I2" s="69"/>
      <c r="J2" s="69"/>
      <c r="K2" s="69"/>
      <c r="L2" s="69"/>
      <c r="M2" s="69"/>
      <c r="N2" s="69"/>
      <c r="O2" s="69"/>
      <c r="P2" s="69"/>
      <c r="Q2" s="69"/>
      <c r="R2" s="69"/>
      <c r="S2" s="69"/>
      <c r="T2" s="69"/>
      <c r="U2" s="69"/>
      <c r="V2" s="69"/>
      <c r="W2" s="69"/>
      <c r="X2" s="69"/>
    </row>
    <row r="3" spans="1:24" s="67" customFormat="1" ht="30.75" customHeight="1" x14ac:dyDescent="0.35">
      <c r="A3" s="65"/>
      <c r="B3" s="96"/>
      <c r="C3" s="65"/>
      <c r="D3" s="65"/>
      <c r="E3" s="65"/>
      <c r="F3" s="65"/>
      <c r="G3" s="65"/>
      <c r="H3" s="65"/>
      <c r="I3" s="65"/>
      <c r="J3" s="65"/>
      <c r="K3" s="65"/>
      <c r="L3" s="65"/>
      <c r="M3" s="65"/>
      <c r="N3" s="65"/>
      <c r="O3" s="65"/>
      <c r="P3" s="65"/>
      <c r="Q3" s="65"/>
      <c r="R3" s="65"/>
      <c r="S3" s="65"/>
      <c r="T3" s="65"/>
      <c r="U3" s="65"/>
      <c r="V3" s="65"/>
      <c r="W3" s="229" t="str">
        <f>'Front Cover'!Y3</f>
        <v>December 2024</v>
      </c>
      <c r="X3" s="65"/>
    </row>
    <row r="4" spans="1:24" ht="18.75" customHeight="1" x14ac:dyDescent="0.3">
      <c r="A4" s="15"/>
      <c r="B4" s="100" t="s">
        <v>284</v>
      </c>
      <c r="C4" s="8"/>
      <c r="D4" s="8"/>
      <c r="E4" s="8"/>
      <c r="F4" s="8"/>
      <c r="G4" s="8"/>
      <c r="H4" s="8"/>
      <c r="I4" s="8"/>
      <c r="J4" s="8"/>
      <c r="K4" s="8"/>
      <c r="L4" s="8"/>
      <c r="M4" s="8"/>
      <c r="N4" s="8"/>
      <c r="O4" s="8"/>
      <c r="P4" s="8"/>
      <c r="Q4" s="8"/>
      <c r="R4" s="8"/>
      <c r="S4" s="8"/>
      <c r="T4" s="8"/>
      <c r="U4" s="8"/>
      <c r="V4" s="8"/>
      <c r="W4" s="8"/>
      <c r="X4" s="15"/>
    </row>
    <row r="5" spans="1:24" ht="5.25" customHeight="1" x14ac:dyDescent="0.3">
      <c r="A5" s="15"/>
      <c r="B5" s="8"/>
      <c r="C5" s="8"/>
      <c r="D5" s="8"/>
      <c r="E5" s="8"/>
      <c r="F5" s="8"/>
      <c r="G5" s="8"/>
      <c r="H5" s="8"/>
      <c r="I5" s="8"/>
      <c r="J5" s="8"/>
      <c r="K5" s="8"/>
      <c r="L5" s="8"/>
      <c r="M5" s="8"/>
      <c r="N5" s="8"/>
      <c r="O5" s="8"/>
      <c r="P5" s="8"/>
      <c r="Q5" s="8"/>
      <c r="R5" s="8"/>
      <c r="S5" s="8"/>
      <c r="T5" s="8"/>
      <c r="U5" s="8"/>
      <c r="V5" s="8"/>
      <c r="W5" s="8"/>
      <c r="X5" s="15"/>
    </row>
    <row r="6" spans="1:24" x14ac:dyDescent="0.3">
      <c r="A6" s="15"/>
      <c r="B6" s="8"/>
      <c r="C6" s="8"/>
      <c r="D6" s="8"/>
      <c r="E6" s="8"/>
      <c r="F6" s="8"/>
      <c r="G6" s="8"/>
      <c r="H6" s="8"/>
      <c r="I6" s="8"/>
      <c r="J6" s="8"/>
      <c r="K6" s="8"/>
      <c r="L6" s="8"/>
      <c r="M6" s="8"/>
      <c r="N6" s="8"/>
      <c r="O6" s="8"/>
      <c r="P6" s="8"/>
      <c r="Q6" s="8"/>
      <c r="R6" s="8"/>
      <c r="S6" s="8"/>
      <c r="T6" s="8"/>
      <c r="U6" s="8"/>
      <c r="V6" s="8"/>
      <c r="W6" s="8"/>
      <c r="X6" s="15"/>
    </row>
    <row r="7" spans="1:24" ht="18.75" customHeight="1" x14ac:dyDescent="0.35">
      <c r="A7" s="15"/>
      <c r="B7" s="92"/>
      <c r="C7" s="92"/>
      <c r="D7" s="92"/>
      <c r="E7" s="92"/>
      <c r="F7" s="92"/>
      <c r="G7" s="92"/>
      <c r="H7" s="92"/>
      <c r="I7" s="92"/>
      <c r="J7" s="92"/>
      <c r="K7" s="92"/>
      <c r="L7" s="92"/>
      <c r="M7" s="92"/>
      <c r="N7" s="92"/>
      <c r="O7" s="92"/>
      <c r="P7" s="92"/>
      <c r="Q7" s="92"/>
      <c r="R7" s="92"/>
      <c r="S7" s="92"/>
      <c r="T7" s="8"/>
      <c r="U7" s="8"/>
      <c r="V7" s="8"/>
      <c r="W7" s="8"/>
      <c r="X7" s="15"/>
    </row>
    <row r="8" spans="1:24" ht="5.25" customHeight="1" x14ac:dyDescent="0.35">
      <c r="A8" s="15"/>
      <c r="B8" s="92"/>
      <c r="C8" s="92"/>
      <c r="D8" s="92"/>
      <c r="E8" s="92"/>
      <c r="F8" s="92"/>
      <c r="G8" s="92"/>
      <c r="H8" s="92"/>
      <c r="I8" s="92"/>
      <c r="J8" s="92"/>
      <c r="K8" s="92"/>
      <c r="L8" s="92"/>
      <c r="M8" s="92"/>
      <c r="N8" s="92"/>
      <c r="O8" s="92"/>
      <c r="P8" s="92"/>
      <c r="Q8" s="92"/>
      <c r="R8" s="92"/>
      <c r="S8" s="92"/>
      <c r="T8" s="8"/>
      <c r="U8" s="8"/>
      <c r="V8" s="8"/>
      <c r="W8" s="8"/>
      <c r="X8" s="15"/>
    </row>
    <row r="9" spans="1:24" ht="45" customHeight="1" x14ac:dyDescent="0.35">
      <c r="A9" s="15"/>
      <c r="B9" s="427"/>
      <c r="C9" s="427"/>
      <c r="D9" s="427"/>
      <c r="E9" s="427"/>
      <c r="F9" s="427"/>
      <c r="G9" s="427"/>
      <c r="H9" s="427"/>
      <c r="I9" s="427"/>
      <c r="J9" s="427"/>
      <c r="K9" s="427"/>
      <c r="L9" s="427"/>
      <c r="M9" s="427"/>
      <c r="N9" s="427"/>
      <c r="O9" s="427"/>
      <c r="P9" s="92"/>
      <c r="Q9" s="92"/>
      <c r="R9" s="92"/>
      <c r="S9" s="92"/>
      <c r="T9" s="8"/>
      <c r="U9" s="8"/>
      <c r="V9" s="8"/>
      <c r="W9" s="8"/>
      <c r="X9" s="15"/>
    </row>
    <row r="10" spans="1:24" ht="5.25" customHeight="1" x14ac:dyDescent="0.35">
      <c r="A10" s="15"/>
      <c r="B10" s="253"/>
      <c r="C10" s="253"/>
      <c r="D10" s="253"/>
      <c r="E10" s="253"/>
      <c r="F10" s="253"/>
      <c r="G10" s="253"/>
      <c r="H10" s="253"/>
      <c r="I10" s="253"/>
      <c r="J10" s="253"/>
      <c r="K10" s="253"/>
      <c r="L10" s="253"/>
      <c r="M10" s="253"/>
      <c r="N10" s="253"/>
      <c r="O10" s="253"/>
      <c r="P10" s="92"/>
      <c r="Q10" s="92"/>
      <c r="R10" s="92"/>
      <c r="S10" s="92"/>
      <c r="T10" s="8"/>
      <c r="U10" s="8"/>
      <c r="V10" s="8"/>
      <c r="W10" s="8"/>
      <c r="X10" s="15"/>
    </row>
    <row r="11" spans="1:24" ht="60.75" customHeight="1" x14ac:dyDescent="0.35">
      <c r="A11" s="15"/>
      <c r="B11" s="427"/>
      <c r="C11" s="427"/>
      <c r="D11" s="427"/>
      <c r="E11" s="427"/>
      <c r="F11" s="427"/>
      <c r="G11" s="427"/>
      <c r="H11" s="427"/>
      <c r="I11" s="427"/>
      <c r="J11" s="427"/>
      <c r="K11" s="427"/>
      <c r="L11" s="427"/>
      <c r="M11" s="427"/>
      <c r="N11" s="427"/>
      <c r="O11" s="427"/>
      <c r="P11" s="92"/>
      <c r="Q11" s="92"/>
      <c r="R11" s="92"/>
      <c r="S11" s="92"/>
      <c r="T11" s="8"/>
      <c r="U11" s="8"/>
      <c r="V11" s="8"/>
      <c r="W11" s="8"/>
      <c r="X11" s="15"/>
    </row>
    <row r="12" spans="1:24" ht="88.5" customHeight="1" x14ac:dyDescent="0.35">
      <c r="A12" s="15"/>
      <c r="B12" s="427"/>
      <c r="C12" s="427"/>
      <c r="D12" s="427"/>
      <c r="E12" s="427"/>
      <c r="F12" s="427"/>
      <c r="G12" s="427"/>
      <c r="H12" s="427"/>
      <c r="I12" s="427"/>
      <c r="J12" s="427"/>
      <c r="K12" s="427"/>
      <c r="L12" s="427"/>
      <c r="M12" s="427"/>
      <c r="N12" s="427"/>
      <c r="O12" s="427"/>
      <c r="P12" s="92"/>
      <c r="Q12" s="92"/>
      <c r="R12" s="92"/>
      <c r="S12" s="92"/>
      <c r="T12" s="8"/>
      <c r="U12" s="8"/>
      <c r="V12" s="8"/>
      <c r="W12" s="8"/>
      <c r="X12" s="15"/>
    </row>
    <row r="13" spans="1:24" ht="82.5" customHeight="1" x14ac:dyDescent="0.35">
      <c r="A13" s="15"/>
      <c r="B13" s="427"/>
      <c r="C13" s="427"/>
      <c r="D13" s="427"/>
      <c r="E13" s="427"/>
      <c r="F13" s="427"/>
      <c r="G13" s="427"/>
      <c r="H13" s="427"/>
      <c r="I13" s="427"/>
      <c r="J13" s="427"/>
      <c r="K13" s="427"/>
      <c r="L13" s="427"/>
      <c r="M13" s="427"/>
      <c r="N13" s="427"/>
      <c r="O13" s="427"/>
      <c r="P13" s="92"/>
      <c r="Q13" s="92"/>
      <c r="R13" s="92"/>
      <c r="S13" s="92"/>
      <c r="T13" s="8"/>
      <c r="U13" s="8"/>
      <c r="V13" s="8"/>
      <c r="W13" s="8"/>
      <c r="X13" s="15"/>
    </row>
    <row r="14" spans="1:24" ht="117.75" customHeight="1" x14ac:dyDescent="0.35">
      <c r="A14" s="15"/>
      <c r="B14" s="427"/>
      <c r="C14" s="427"/>
      <c r="D14" s="427"/>
      <c r="E14" s="427"/>
      <c r="F14" s="427"/>
      <c r="G14" s="427"/>
      <c r="H14" s="427"/>
      <c r="I14" s="427"/>
      <c r="J14" s="427"/>
      <c r="K14" s="427"/>
      <c r="L14" s="427"/>
      <c r="M14" s="427"/>
      <c r="N14" s="427"/>
      <c r="O14" s="427"/>
      <c r="P14" s="92"/>
      <c r="Q14" s="92"/>
      <c r="R14" s="92"/>
      <c r="S14" s="92"/>
      <c r="T14" s="8"/>
      <c r="U14" s="8"/>
      <c r="V14" s="8"/>
      <c r="W14" s="8"/>
      <c r="X14" s="15"/>
    </row>
    <row r="15" spans="1:24" ht="60.75" customHeight="1" x14ac:dyDescent="0.35">
      <c r="A15" s="15"/>
      <c r="B15" s="92"/>
      <c r="C15" s="92"/>
      <c r="D15" s="92"/>
      <c r="E15" s="92"/>
      <c r="F15" s="92"/>
      <c r="G15" s="92"/>
      <c r="H15" s="92"/>
      <c r="I15" s="92"/>
      <c r="J15" s="92"/>
      <c r="K15" s="92"/>
      <c r="L15" s="92"/>
      <c r="M15" s="92"/>
      <c r="N15" s="92"/>
      <c r="O15" s="92"/>
      <c r="P15" s="92"/>
      <c r="Q15" s="92"/>
      <c r="R15" s="92"/>
      <c r="S15" s="92"/>
      <c r="T15" s="9"/>
      <c r="U15" s="9"/>
      <c r="V15" s="9"/>
      <c r="W15" s="9"/>
      <c r="X15" s="15"/>
    </row>
    <row r="16" spans="1:24" ht="14.5" x14ac:dyDescent="0.35">
      <c r="A16" s="15"/>
      <c r="B16" s="92"/>
      <c r="C16" s="92"/>
      <c r="D16" s="92"/>
      <c r="E16" s="92"/>
      <c r="F16" s="92"/>
      <c r="G16" s="92"/>
      <c r="H16" s="92"/>
      <c r="I16" s="92"/>
      <c r="J16" s="92"/>
      <c r="K16" s="92"/>
      <c r="L16" s="92"/>
      <c r="M16" s="92"/>
      <c r="N16" s="92"/>
      <c r="O16" s="92"/>
      <c r="P16" s="92"/>
      <c r="Q16" s="92"/>
      <c r="R16" s="92"/>
      <c r="S16" s="92"/>
      <c r="T16" s="9"/>
      <c r="U16" s="9"/>
      <c r="V16" s="9"/>
      <c r="W16" s="9"/>
      <c r="X16" s="15"/>
    </row>
    <row r="17" spans="1:24" ht="14.5" x14ac:dyDescent="0.35">
      <c r="A17" s="15"/>
      <c r="B17" s="92"/>
      <c r="C17" s="92"/>
      <c r="D17" s="92"/>
      <c r="E17" s="92"/>
      <c r="F17" s="92"/>
      <c r="G17" s="92"/>
      <c r="H17" s="92"/>
      <c r="I17" s="92"/>
      <c r="J17" s="92"/>
      <c r="K17" s="92"/>
      <c r="L17" s="92"/>
      <c r="M17" s="92"/>
      <c r="N17" s="92"/>
      <c r="O17" s="92"/>
      <c r="P17" s="92"/>
      <c r="Q17" s="92"/>
      <c r="R17" s="92"/>
      <c r="S17" s="92"/>
      <c r="T17" s="9"/>
      <c r="U17" s="9"/>
      <c r="V17" s="9"/>
      <c r="W17" s="9"/>
      <c r="X17" s="15"/>
    </row>
    <row r="18" spans="1:24" ht="14.5" x14ac:dyDescent="0.35">
      <c r="A18" s="15"/>
      <c r="B18" s="92"/>
      <c r="C18" s="92"/>
      <c r="D18" s="92"/>
      <c r="E18" s="92"/>
      <c r="F18" s="92"/>
      <c r="G18" s="92"/>
      <c r="H18" s="92"/>
      <c r="I18" s="92"/>
      <c r="J18" s="92"/>
      <c r="K18" s="92"/>
      <c r="L18" s="92"/>
      <c r="M18" s="92"/>
      <c r="N18" s="92"/>
      <c r="O18" s="92"/>
      <c r="P18" s="92"/>
      <c r="Q18" s="92"/>
      <c r="R18" s="92"/>
      <c r="S18" s="92"/>
      <c r="T18" s="9"/>
      <c r="U18" s="9"/>
      <c r="V18" s="9"/>
      <c r="W18" s="9"/>
      <c r="X18" s="15"/>
    </row>
    <row r="19" spans="1:24" ht="14.5" x14ac:dyDescent="0.35">
      <c r="A19" s="15"/>
      <c r="B19" s="92"/>
      <c r="C19" s="92"/>
      <c r="D19" s="92"/>
      <c r="E19" s="92"/>
      <c r="F19" s="92"/>
      <c r="G19" s="92"/>
      <c r="H19" s="92"/>
      <c r="I19" s="92"/>
      <c r="J19" s="92"/>
      <c r="K19" s="92"/>
      <c r="L19" s="92"/>
      <c r="M19" s="92"/>
      <c r="N19" s="92"/>
      <c r="O19" s="92"/>
      <c r="P19" s="92"/>
      <c r="Q19" s="92"/>
      <c r="R19" s="92"/>
      <c r="S19" s="92"/>
      <c r="T19" s="9"/>
      <c r="U19" s="9"/>
      <c r="V19" s="9"/>
      <c r="W19" s="9"/>
      <c r="X19" s="15"/>
    </row>
    <row r="20" spans="1:24" ht="14.5" x14ac:dyDescent="0.35">
      <c r="A20" s="15"/>
      <c r="B20" s="92"/>
      <c r="C20" s="92"/>
      <c r="D20" s="92"/>
      <c r="E20" s="92"/>
      <c r="F20" s="92"/>
      <c r="G20" s="92"/>
      <c r="H20" s="92"/>
      <c r="I20" s="92"/>
      <c r="J20" s="92"/>
      <c r="K20" s="92"/>
      <c r="L20" s="92"/>
      <c r="M20" s="92"/>
      <c r="N20" s="92"/>
      <c r="O20" s="92"/>
      <c r="P20" s="92"/>
      <c r="Q20" s="92"/>
      <c r="R20" s="92"/>
      <c r="S20" s="92"/>
      <c r="T20" s="9"/>
      <c r="U20" s="9"/>
      <c r="V20" s="9"/>
      <c r="W20" s="9"/>
      <c r="X20" s="15"/>
    </row>
    <row r="21" spans="1:24" ht="14.5" x14ac:dyDescent="0.35">
      <c r="A21" s="15"/>
      <c r="B21" s="92"/>
      <c r="C21" s="92"/>
      <c r="D21" s="92"/>
      <c r="E21" s="92"/>
      <c r="F21" s="92"/>
      <c r="G21" s="92"/>
      <c r="H21" s="92"/>
      <c r="I21" s="92"/>
      <c r="J21" s="92"/>
      <c r="K21" s="92"/>
      <c r="L21" s="92"/>
      <c r="M21" s="92"/>
      <c r="N21" s="92"/>
      <c r="O21" s="92"/>
      <c r="P21" s="92"/>
      <c r="Q21" s="92"/>
      <c r="R21" s="92"/>
      <c r="S21" s="92"/>
      <c r="T21" s="9"/>
      <c r="U21" s="9"/>
      <c r="V21" s="9"/>
      <c r="W21" s="9"/>
      <c r="X21" s="15"/>
    </row>
    <row r="22" spans="1:24" ht="14.5" x14ac:dyDescent="0.35">
      <c r="A22" s="15"/>
      <c r="B22" s="92"/>
      <c r="C22" s="92"/>
      <c r="D22" s="92"/>
      <c r="E22" s="92"/>
      <c r="F22" s="92"/>
      <c r="G22" s="92"/>
      <c r="H22" s="92"/>
      <c r="I22" s="92"/>
      <c r="J22" s="92"/>
      <c r="K22" s="92"/>
      <c r="L22" s="92"/>
      <c r="M22" s="92"/>
      <c r="N22" s="92"/>
      <c r="O22" s="92"/>
      <c r="P22" s="92"/>
      <c r="Q22" s="92"/>
      <c r="R22" s="92"/>
      <c r="S22" s="92"/>
      <c r="T22" s="9"/>
      <c r="U22" s="9"/>
      <c r="V22" s="9"/>
      <c r="W22" s="9"/>
      <c r="X22" s="15"/>
    </row>
    <row r="23" spans="1:24" ht="14.5" x14ac:dyDescent="0.35">
      <c r="A23" s="15"/>
      <c r="B23" s="92"/>
      <c r="C23" s="92"/>
      <c r="D23" s="92"/>
      <c r="E23" s="92"/>
      <c r="F23" s="92"/>
      <c r="G23" s="92"/>
      <c r="H23" s="92"/>
      <c r="I23" s="92"/>
      <c r="J23" s="92"/>
      <c r="K23" s="92"/>
      <c r="L23" s="92"/>
      <c r="M23" s="92"/>
      <c r="N23" s="92"/>
      <c r="O23" s="92"/>
      <c r="P23" s="92"/>
      <c r="Q23" s="92"/>
      <c r="R23" s="92"/>
      <c r="S23" s="92"/>
      <c r="T23" s="9"/>
      <c r="U23" s="9"/>
      <c r="V23" s="9"/>
      <c r="W23" s="9"/>
      <c r="X23" s="15"/>
    </row>
    <row r="24" spans="1:24" ht="14.5" x14ac:dyDescent="0.35">
      <c r="A24" s="15"/>
      <c r="B24" s="92"/>
      <c r="C24" s="92"/>
      <c r="D24" s="92"/>
      <c r="E24" s="92"/>
      <c r="F24" s="92"/>
      <c r="G24" s="92"/>
      <c r="H24" s="92"/>
      <c r="I24" s="92"/>
      <c r="J24" s="92"/>
      <c r="K24" s="92"/>
      <c r="L24" s="92"/>
      <c r="M24" s="92"/>
      <c r="N24" s="92"/>
      <c r="O24" s="92"/>
      <c r="P24" s="92"/>
      <c r="Q24" s="92"/>
      <c r="R24" s="92"/>
      <c r="S24" s="92"/>
      <c r="T24" s="9"/>
      <c r="U24" s="9"/>
      <c r="V24" s="9"/>
      <c r="W24" s="9"/>
      <c r="X24" s="15"/>
    </row>
    <row r="25" spans="1:24" ht="14.5" x14ac:dyDescent="0.35">
      <c r="A25" s="15"/>
      <c r="B25" s="92"/>
      <c r="C25" s="92"/>
      <c r="D25" s="92"/>
      <c r="E25" s="92"/>
      <c r="F25" s="92"/>
      <c r="G25" s="92"/>
      <c r="H25" s="92"/>
      <c r="I25" s="92"/>
      <c r="J25" s="92"/>
      <c r="K25" s="92"/>
      <c r="L25" s="92"/>
      <c r="M25" s="92"/>
      <c r="N25" s="92"/>
      <c r="O25" s="92"/>
      <c r="P25" s="92"/>
      <c r="Q25" s="92"/>
      <c r="R25" s="92"/>
      <c r="S25" s="92"/>
      <c r="T25" s="9"/>
      <c r="U25" s="9"/>
      <c r="V25" s="9"/>
      <c r="W25" s="9"/>
      <c r="X25" s="15"/>
    </row>
    <row r="26" spans="1:24" ht="14.5" x14ac:dyDescent="0.35">
      <c r="A26" s="15"/>
      <c r="B26" s="92"/>
      <c r="C26" s="92"/>
      <c r="D26" s="92"/>
      <c r="E26" s="92"/>
      <c r="F26" s="92"/>
      <c r="G26" s="92"/>
      <c r="H26" s="92"/>
      <c r="I26" s="92"/>
      <c r="J26" s="92"/>
      <c r="K26" s="92"/>
      <c r="L26" s="92"/>
      <c r="M26" s="92"/>
      <c r="N26" s="92"/>
      <c r="O26" s="92"/>
      <c r="P26" s="92"/>
      <c r="Q26" s="92"/>
      <c r="R26" s="92"/>
      <c r="S26" s="92"/>
      <c r="T26" s="9"/>
      <c r="U26" s="9"/>
      <c r="V26" s="9"/>
      <c r="W26" s="9"/>
      <c r="X26" s="15"/>
    </row>
    <row r="27" spans="1:24" ht="14.5" x14ac:dyDescent="0.35">
      <c r="A27" s="15"/>
      <c r="B27" s="92"/>
      <c r="C27" s="92"/>
      <c r="D27" s="92"/>
      <c r="E27" s="92"/>
      <c r="F27" s="92"/>
      <c r="G27" s="92"/>
      <c r="H27" s="92"/>
      <c r="I27" s="92"/>
      <c r="J27" s="92"/>
      <c r="K27" s="92"/>
      <c r="L27" s="92"/>
      <c r="M27" s="92"/>
      <c r="N27" s="92"/>
      <c r="O27" s="92"/>
      <c r="P27" s="92"/>
      <c r="Q27" s="92"/>
      <c r="R27" s="92"/>
      <c r="S27" s="92"/>
      <c r="T27" s="9"/>
      <c r="U27" s="9"/>
      <c r="V27" s="9"/>
      <c r="W27" s="9"/>
      <c r="X27" s="15"/>
    </row>
    <row r="28" spans="1:24" ht="14.5" x14ac:dyDescent="0.35">
      <c r="A28" s="15"/>
      <c r="B28" s="92"/>
      <c r="C28" s="92"/>
      <c r="D28" s="92"/>
      <c r="E28" s="92"/>
      <c r="F28" s="92"/>
      <c r="G28" s="92"/>
      <c r="H28" s="92"/>
      <c r="I28" s="92"/>
      <c r="J28" s="92"/>
      <c r="K28" s="92"/>
      <c r="L28" s="92"/>
      <c r="M28" s="92"/>
      <c r="N28" s="92"/>
      <c r="O28" s="92"/>
      <c r="P28" s="92"/>
      <c r="Q28" s="92"/>
      <c r="R28" s="92"/>
      <c r="S28" s="92"/>
      <c r="T28" s="9"/>
      <c r="U28" s="9"/>
      <c r="V28" s="9"/>
      <c r="W28" s="9"/>
      <c r="X28" s="15"/>
    </row>
    <row r="29" spans="1:24" ht="14.5" x14ac:dyDescent="0.35">
      <c r="A29" s="15"/>
      <c r="B29" s="92"/>
      <c r="C29" s="92"/>
      <c r="D29" s="92"/>
      <c r="E29" s="92"/>
      <c r="F29" s="92"/>
      <c r="G29" s="92"/>
      <c r="H29" s="92"/>
      <c r="I29" s="92"/>
      <c r="J29" s="92"/>
      <c r="K29" s="92"/>
      <c r="L29" s="92"/>
      <c r="M29" s="92"/>
      <c r="N29" s="92"/>
      <c r="O29" s="92"/>
      <c r="P29" s="92"/>
      <c r="Q29" s="92"/>
      <c r="R29" s="92"/>
      <c r="S29" s="92"/>
      <c r="T29" s="9"/>
      <c r="U29" s="9"/>
      <c r="V29" s="9"/>
      <c r="W29" s="9"/>
      <c r="X29" s="15"/>
    </row>
    <row r="30" spans="1:24" ht="14.5" x14ac:dyDescent="0.35">
      <c r="A30" s="15"/>
      <c r="B30" s="92"/>
      <c r="C30" s="92"/>
      <c r="D30" s="92"/>
      <c r="E30" s="92"/>
      <c r="F30" s="92"/>
      <c r="G30" s="92"/>
      <c r="H30" s="92"/>
      <c r="I30" s="92"/>
      <c r="J30" s="92"/>
      <c r="K30" s="92"/>
      <c r="L30" s="92"/>
      <c r="M30" s="92"/>
      <c r="N30" s="92"/>
      <c r="O30" s="92"/>
      <c r="P30" s="92"/>
      <c r="Q30" s="92"/>
      <c r="R30" s="92"/>
      <c r="S30" s="92"/>
      <c r="T30" s="9"/>
      <c r="U30" s="9"/>
      <c r="V30" s="9"/>
      <c r="W30" s="9"/>
      <c r="X30" s="15"/>
    </row>
    <row r="31" spans="1:24" ht="14.5" x14ac:dyDescent="0.35">
      <c r="A31" s="15"/>
      <c r="B31" s="92"/>
      <c r="C31" s="92"/>
      <c r="D31" s="92"/>
      <c r="E31" s="92"/>
      <c r="F31" s="92"/>
      <c r="G31" s="92"/>
      <c r="H31" s="92"/>
      <c r="I31" s="92"/>
      <c r="J31" s="92"/>
      <c r="K31" s="92"/>
      <c r="L31" s="92"/>
      <c r="M31" s="92"/>
      <c r="N31" s="92"/>
      <c r="O31" s="92"/>
      <c r="P31" s="92"/>
      <c r="Q31" s="92"/>
      <c r="R31" s="92"/>
      <c r="S31" s="92"/>
      <c r="T31" s="9"/>
      <c r="U31" s="9"/>
      <c r="V31" s="9"/>
      <c r="W31" s="9"/>
      <c r="X31" s="15"/>
    </row>
    <row r="32" spans="1:24" ht="14.5" x14ac:dyDescent="0.35">
      <c r="A32" s="15"/>
      <c r="B32" s="92"/>
      <c r="C32" s="92"/>
      <c r="D32" s="92"/>
      <c r="E32" s="92"/>
      <c r="F32" s="92"/>
      <c r="G32" s="92"/>
      <c r="H32" s="92"/>
      <c r="I32" s="92"/>
      <c r="J32" s="92"/>
      <c r="K32" s="92"/>
      <c r="L32" s="92"/>
      <c r="M32" s="92"/>
      <c r="N32" s="92"/>
      <c r="O32" s="92"/>
      <c r="P32" s="92"/>
      <c r="Q32" s="92"/>
      <c r="R32" s="92"/>
      <c r="S32" s="92"/>
      <c r="T32" s="9"/>
      <c r="U32" s="9"/>
      <c r="V32" s="9"/>
      <c r="W32" s="9"/>
      <c r="X32" s="15"/>
    </row>
    <row r="33" spans="1:24" ht="14.5" x14ac:dyDescent="0.35">
      <c r="A33" s="15"/>
      <c r="B33" s="92"/>
      <c r="C33" s="92"/>
      <c r="D33" s="92"/>
      <c r="E33" s="92"/>
      <c r="F33" s="92"/>
      <c r="G33" s="92"/>
      <c r="H33" s="92"/>
      <c r="I33" s="92"/>
      <c r="J33" s="92"/>
      <c r="K33" s="92"/>
      <c r="L33" s="92"/>
      <c r="M33" s="92"/>
      <c r="N33" s="92"/>
      <c r="O33" s="92"/>
      <c r="P33" s="92"/>
      <c r="Q33" s="92"/>
      <c r="R33" s="92"/>
      <c r="S33" s="92"/>
      <c r="T33" s="9"/>
      <c r="U33" s="9"/>
      <c r="V33" s="9"/>
      <c r="W33" s="9"/>
      <c r="X33" s="15"/>
    </row>
    <row r="34" spans="1:24" ht="14.5" x14ac:dyDescent="0.35">
      <c r="A34" s="15"/>
      <c r="B34" s="92"/>
      <c r="C34" s="92"/>
      <c r="D34" s="92"/>
      <c r="E34" s="92"/>
      <c r="F34" s="92"/>
      <c r="G34" s="92"/>
      <c r="H34" s="92"/>
      <c r="I34" s="92"/>
      <c r="J34" s="92"/>
      <c r="K34" s="92"/>
      <c r="L34" s="92"/>
      <c r="M34" s="92"/>
      <c r="N34" s="92"/>
      <c r="O34" s="92"/>
      <c r="P34" s="92"/>
      <c r="Q34" s="92"/>
      <c r="R34" s="92"/>
      <c r="S34" s="92"/>
      <c r="T34" s="9"/>
      <c r="U34" s="9"/>
      <c r="V34" s="9"/>
      <c r="W34" s="9"/>
      <c r="X34" s="15"/>
    </row>
    <row r="35" spans="1:24" ht="14.5" x14ac:dyDescent="0.35">
      <c r="A35" s="15"/>
      <c r="B35" s="92"/>
      <c r="C35" s="92"/>
      <c r="D35" s="92"/>
      <c r="E35" s="92"/>
      <c r="F35" s="92"/>
      <c r="G35" s="92"/>
      <c r="H35" s="92"/>
      <c r="I35" s="92"/>
      <c r="J35" s="92"/>
      <c r="K35" s="92"/>
      <c r="L35" s="92"/>
      <c r="M35" s="92"/>
      <c r="N35" s="92"/>
      <c r="O35" s="92"/>
      <c r="P35" s="92"/>
      <c r="Q35" s="92"/>
      <c r="R35" s="92"/>
      <c r="S35" s="92"/>
      <c r="T35" s="9"/>
      <c r="U35" s="9"/>
      <c r="V35" s="9"/>
      <c r="W35" s="9"/>
      <c r="X35" s="15"/>
    </row>
    <row r="36" spans="1:24" ht="14.5" x14ac:dyDescent="0.35">
      <c r="A36" s="15"/>
      <c r="B36" s="92"/>
      <c r="C36" s="92"/>
      <c r="D36" s="92"/>
      <c r="E36" s="92"/>
      <c r="F36" s="92"/>
      <c r="G36" s="92"/>
      <c r="H36" s="92"/>
      <c r="I36" s="92"/>
      <c r="J36" s="92"/>
      <c r="K36" s="92"/>
      <c r="L36" s="92"/>
      <c r="M36" s="92"/>
      <c r="N36" s="92"/>
      <c r="O36" s="92"/>
      <c r="P36" s="92"/>
      <c r="Q36" s="92"/>
      <c r="R36" s="92"/>
      <c r="S36" s="92"/>
      <c r="T36" s="9"/>
      <c r="U36" s="9"/>
      <c r="V36" s="9"/>
      <c r="W36" s="9"/>
      <c r="X36" s="15"/>
    </row>
    <row r="37" spans="1:24" ht="14.5" x14ac:dyDescent="0.35">
      <c r="A37" s="15"/>
      <c r="B37" s="92"/>
      <c r="C37" s="92"/>
      <c r="D37" s="92"/>
      <c r="E37" s="92"/>
      <c r="F37" s="92"/>
      <c r="G37" s="92"/>
      <c r="H37" s="92"/>
      <c r="I37" s="92"/>
      <c r="J37" s="92"/>
      <c r="K37" s="92"/>
      <c r="L37" s="92"/>
      <c r="M37" s="92"/>
      <c r="N37" s="92"/>
      <c r="O37" s="92"/>
      <c r="P37" s="92"/>
      <c r="Q37" s="92"/>
      <c r="R37" s="92"/>
      <c r="S37" s="92"/>
      <c r="T37" s="9"/>
      <c r="U37" s="9"/>
      <c r="V37" s="9"/>
      <c r="W37" s="9"/>
      <c r="X37" s="15"/>
    </row>
    <row r="38" spans="1:24" ht="14.5" x14ac:dyDescent="0.35">
      <c r="A38" s="15"/>
      <c r="B38" s="92"/>
      <c r="C38" s="92"/>
      <c r="D38" s="92"/>
      <c r="E38" s="92"/>
      <c r="F38" s="92"/>
      <c r="G38" s="92"/>
      <c r="H38" s="92"/>
      <c r="I38" s="92"/>
      <c r="J38" s="92"/>
      <c r="K38" s="92"/>
      <c r="L38" s="92"/>
      <c r="M38" s="92"/>
      <c r="N38" s="92"/>
      <c r="O38" s="92"/>
      <c r="P38" s="92"/>
      <c r="Q38" s="92"/>
      <c r="R38" s="92"/>
      <c r="S38" s="92"/>
      <c r="T38" s="9"/>
      <c r="U38" s="9"/>
      <c r="V38" s="9"/>
      <c r="W38" s="9"/>
      <c r="X38" s="15"/>
    </row>
    <row r="39" spans="1:24" ht="14.5" x14ac:dyDescent="0.35">
      <c r="A39" s="15"/>
      <c r="B39" s="92"/>
      <c r="C39" s="92"/>
      <c r="D39" s="92"/>
      <c r="E39" s="92"/>
      <c r="F39" s="92"/>
      <c r="G39" s="92"/>
      <c r="H39" s="92"/>
      <c r="I39" s="92"/>
      <c r="J39" s="92"/>
      <c r="K39" s="92"/>
      <c r="L39" s="92"/>
      <c r="M39" s="92"/>
      <c r="N39" s="92"/>
      <c r="O39" s="92"/>
      <c r="P39" s="92"/>
      <c r="Q39" s="92"/>
      <c r="R39" s="92"/>
      <c r="S39" s="92"/>
      <c r="T39" s="9"/>
      <c r="U39" s="9"/>
      <c r="V39" s="9"/>
      <c r="W39" s="9"/>
      <c r="X39" s="15"/>
    </row>
    <row r="40" spans="1:24" ht="14.5" x14ac:dyDescent="0.35">
      <c r="A40" s="15"/>
      <c r="B40" s="92"/>
      <c r="C40" s="92"/>
      <c r="D40" s="92"/>
      <c r="E40" s="92"/>
      <c r="F40" s="92"/>
      <c r="G40" s="92"/>
      <c r="H40" s="92"/>
      <c r="I40" s="92"/>
      <c r="J40" s="92"/>
      <c r="K40" s="92"/>
      <c r="L40" s="92"/>
      <c r="M40" s="92"/>
      <c r="N40" s="92"/>
      <c r="O40" s="92"/>
      <c r="P40" s="92"/>
      <c r="Q40" s="92"/>
      <c r="R40" s="92"/>
      <c r="S40" s="92"/>
      <c r="T40" s="9"/>
      <c r="U40" s="9"/>
      <c r="V40" s="9"/>
      <c r="W40" s="9"/>
      <c r="X40" s="15"/>
    </row>
    <row r="41" spans="1:24" ht="14.5" x14ac:dyDescent="0.35">
      <c r="A41" s="15"/>
      <c r="B41" s="92"/>
      <c r="C41" s="92"/>
      <c r="D41" s="92"/>
      <c r="E41" s="92"/>
      <c r="F41" s="92"/>
      <c r="G41" s="92"/>
      <c r="H41" s="92"/>
      <c r="I41" s="92"/>
      <c r="J41" s="92"/>
      <c r="K41" s="92"/>
      <c r="L41" s="92"/>
      <c r="M41" s="92"/>
      <c r="N41" s="92"/>
      <c r="O41" s="92"/>
      <c r="P41" s="92"/>
      <c r="Q41" s="92"/>
      <c r="R41" s="92"/>
      <c r="S41" s="92"/>
      <c r="T41" s="9"/>
      <c r="U41" s="9"/>
      <c r="V41" s="9"/>
      <c r="W41" s="9"/>
      <c r="X41" s="15"/>
    </row>
    <row r="42" spans="1:24" ht="14.5" x14ac:dyDescent="0.35">
      <c r="A42" s="15"/>
      <c r="B42" s="92"/>
      <c r="C42" s="92"/>
      <c r="D42" s="92"/>
      <c r="E42" s="92"/>
      <c r="F42" s="92"/>
      <c r="G42" s="92"/>
      <c r="H42" s="92"/>
      <c r="I42" s="92"/>
      <c r="J42" s="92"/>
      <c r="K42" s="92"/>
      <c r="L42" s="92"/>
      <c r="M42" s="92"/>
      <c r="N42" s="92"/>
      <c r="O42" s="92"/>
      <c r="P42" s="92"/>
      <c r="Q42" s="92"/>
      <c r="R42" s="92"/>
      <c r="S42" s="92"/>
      <c r="T42" s="9"/>
      <c r="U42" s="9"/>
      <c r="V42" s="9"/>
      <c r="W42" s="9"/>
      <c r="X42" s="15"/>
    </row>
    <row r="43" spans="1:24" ht="14.5" x14ac:dyDescent="0.35">
      <c r="A43" s="15"/>
      <c r="B43" s="92"/>
      <c r="C43" s="92"/>
      <c r="D43" s="92"/>
      <c r="E43" s="92"/>
      <c r="F43" s="92"/>
      <c r="G43" s="92"/>
      <c r="H43" s="92"/>
      <c r="I43" s="92"/>
      <c r="J43" s="92"/>
      <c r="K43" s="92"/>
      <c r="L43" s="92"/>
      <c r="M43" s="92"/>
      <c r="N43" s="92"/>
      <c r="O43" s="92"/>
      <c r="P43" s="92"/>
      <c r="Q43" s="92"/>
      <c r="R43" s="92"/>
      <c r="S43" s="92"/>
      <c r="T43" s="9"/>
      <c r="U43" s="9"/>
      <c r="V43" s="9"/>
      <c r="W43" s="9"/>
      <c r="X43" s="15"/>
    </row>
    <row r="44" spans="1:24" x14ac:dyDescent="0.3">
      <c r="A44" s="15"/>
      <c r="B44" s="9"/>
      <c r="C44" s="9"/>
      <c r="D44" s="9"/>
      <c r="E44" s="9"/>
      <c r="F44" s="9"/>
      <c r="G44" s="9"/>
      <c r="H44" s="9"/>
      <c r="I44" s="9"/>
      <c r="J44" s="9"/>
      <c r="K44" s="9"/>
      <c r="L44" s="9"/>
      <c r="M44" s="9"/>
      <c r="N44" s="9"/>
      <c r="O44" s="9"/>
      <c r="P44" s="9"/>
      <c r="Q44" s="9"/>
      <c r="R44" s="9"/>
      <c r="S44" s="9"/>
      <c r="T44" s="9"/>
      <c r="U44" s="9"/>
      <c r="V44" s="9"/>
      <c r="W44" s="9"/>
      <c r="X44" s="15"/>
    </row>
    <row r="45" spans="1:24" x14ac:dyDescent="0.3">
      <c r="A45" s="15"/>
      <c r="B45" s="9"/>
      <c r="C45" s="9"/>
      <c r="D45" s="9"/>
      <c r="E45" s="9"/>
      <c r="F45" s="9"/>
      <c r="G45" s="9"/>
      <c r="H45" s="9"/>
      <c r="I45" s="9"/>
      <c r="J45" s="9"/>
      <c r="K45" s="9"/>
      <c r="L45" s="9"/>
      <c r="M45" s="9"/>
      <c r="N45" s="9"/>
      <c r="O45" s="9"/>
      <c r="P45" s="9"/>
      <c r="Q45" s="9"/>
      <c r="R45" s="9"/>
      <c r="S45" s="9"/>
      <c r="T45" s="9"/>
      <c r="U45" s="9"/>
      <c r="V45" s="9"/>
      <c r="W45" s="9"/>
      <c r="X45" s="15"/>
    </row>
    <row r="46" spans="1:24" x14ac:dyDescent="0.3">
      <c r="A46" s="15"/>
      <c r="B46" s="9"/>
      <c r="C46" s="9"/>
      <c r="D46" s="9"/>
      <c r="E46" s="9"/>
      <c r="F46" s="9"/>
      <c r="G46" s="9"/>
      <c r="H46" s="9"/>
      <c r="I46" s="9"/>
      <c r="J46" s="9"/>
      <c r="K46" s="9"/>
      <c r="L46" s="9"/>
      <c r="M46" s="9"/>
      <c r="N46" s="9"/>
      <c r="O46" s="9"/>
      <c r="P46" s="9"/>
      <c r="Q46" s="9"/>
      <c r="R46" s="9"/>
      <c r="S46" s="9"/>
      <c r="T46" s="9"/>
      <c r="U46" s="9"/>
      <c r="V46" s="9"/>
      <c r="W46" s="9"/>
      <c r="X46" s="15"/>
    </row>
    <row r="47" spans="1:24" x14ac:dyDescent="0.3">
      <c r="A47" s="15"/>
      <c r="B47" s="9"/>
      <c r="C47" s="9"/>
      <c r="D47" s="9"/>
      <c r="E47" s="9"/>
      <c r="F47" s="9"/>
      <c r="G47" s="9"/>
      <c r="H47" s="9"/>
      <c r="I47" s="9"/>
      <c r="J47" s="9"/>
      <c r="K47" s="9"/>
      <c r="L47" s="9"/>
      <c r="M47" s="9"/>
      <c r="N47" s="9"/>
      <c r="O47" s="9"/>
      <c r="P47" s="9"/>
      <c r="Q47" s="9"/>
      <c r="R47" s="9"/>
      <c r="S47" s="9"/>
      <c r="T47" s="9"/>
      <c r="U47" s="9"/>
      <c r="V47" s="9"/>
      <c r="W47" s="9"/>
      <c r="X47" s="15"/>
    </row>
    <row r="48" spans="1:24" x14ac:dyDescent="0.3">
      <c r="A48" s="15"/>
      <c r="B48" s="9"/>
      <c r="C48" s="9"/>
      <c r="D48" s="9"/>
      <c r="E48" s="9"/>
      <c r="F48" s="9"/>
      <c r="G48" s="9"/>
      <c r="H48" s="9"/>
      <c r="I48" s="9"/>
      <c r="J48" s="9"/>
      <c r="K48" s="9"/>
      <c r="L48" s="9"/>
      <c r="M48" s="9"/>
      <c r="N48" s="9"/>
      <c r="O48" s="9"/>
      <c r="P48" s="9"/>
      <c r="Q48" s="9"/>
      <c r="R48" s="9"/>
      <c r="S48" s="9"/>
      <c r="T48" s="9"/>
      <c r="U48" s="9"/>
      <c r="V48" s="9"/>
      <c r="W48" s="9"/>
      <c r="X48" s="15"/>
    </row>
    <row r="49" spans="1:24" x14ac:dyDescent="0.3">
      <c r="A49" s="15"/>
      <c r="B49" s="9"/>
      <c r="C49" s="9"/>
      <c r="D49" s="9"/>
      <c r="E49" s="9"/>
      <c r="F49" s="9"/>
      <c r="G49" s="9"/>
      <c r="H49" s="9"/>
      <c r="I49" s="9"/>
      <c r="J49" s="9"/>
      <c r="K49" s="9"/>
      <c r="L49" s="9"/>
      <c r="M49" s="9"/>
      <c r="N49" s="9"/>
      <c r="O49" s="9"/>
      <c r="P49" s="9"/>
      <c r="Q49" s="9"/>
      <c r="R49" s="9"/>
      <c r="S49" s="9"/>
      <c r="T49" s="9"/>
      <c r="U49" s="9"/>
      <c r="V49" s="9"/>
      <c r="W49" s="9"/>
      <c r="X49" s="15"/>
    </row>
    <row r="50" spans="1:24" x14ac:dyDescent="0.3">
      <c r="A50" s="15"/>
      <c r="B50" s="9"/>
      <c r="C50" s="9"/>
      <c r="D50" s="9"/>
      <c r="E50" s="9"/>
      <c r="F50" s="9"/>
      <c r="G50" s="9"/>
      <c r="H50" s="9"/>
      <c r="I50" s="9"/>
      <c r="J50" s="9"/>
      <c r="K50" s="9"/>
      <c r="L50" s="9"/>
      <c r="M50" s="9"/>
      <c r="N50" s="9"/>
      <c r="O50" s="9"/>
      <c r="P50" s="9"/>
      <c r="Q50" s="9"/>
      <c r="R50" s="9"/>
      <c r="S50" s="9"/>
      <c r="T50" s="9"/>
      <c r="U50" s="9"/>
      <c r="V50" s="9"/>
      <c r="W50" s="9"/>
      <c r="X50" s="15"/>
    </row>
    <row r="51" spans="1:24" x14ac:dyDescent="0.3">
      <c r="A51" s="15"/>
      <c r="B51" s="9"/>
      <c r="C51" s="9"/>
      <c r="D51" s="9"/>
      <c r="E51" s="9"/>
      <c r="F51" s="9"/>
      <c r="G51" s="9"/>
      <c r="H51" s="9"/>
      <c r="I51" s="9"/>
      <c r="J51" s="9"/>
      <c r="K51" s="9"/>
      <c r="L51" s="9"/>
      <c r="M51" s="9"/>
      <c r="N51" s="9"/>
      <c r="O51" s="9"/>
      <c r="P51" s="9"/>
      <c r="Q51" s="9"/>
      <c r="R51" s="9"/>
      <c r="S51" s="9"/>
      <c r="T51" s="9"/>
      <c r="U51" s="9"/>
      <c r="V51" s="9"/>
      <c r="W51" s="9"/>
      <c r="X51" s="15"/>
    </row>
    <row r="52" spans="1:24" x14ac:dyDescent="0.3">
      <c r="A52" s="15"/>
      <c r="B52" s="9"/>
      <c r="C52" s="9"/>
      <c r="D52" s="9"/>
      <c r="E52" s="9"/>
      <c r="F52" s="9"/>
      <c r="G52" s="9"/>
      <c r="H52" s="9"/>
      <c r="I52" s="9"/>
      <c r="J52" s="9"/>
      <c r="K52" s="9"/>
      <c r="L52" s="9"/>
      <c r="M52" s="9"/>
      <c r="N52" s="9"/>
      <c r="O52" s="9"/>
      <c r="P52" s="9"/>
      <c r="Q52" s="9"/>
      <c r="R52" s="9"/>
      <c r="S52" s="9"/>
      <c r="T52" s="9"/>
      <c r="U52" s="9"/>
      <c r="V52" s="9"/>
      <c r="W52" s="9"/>
      <c r="X52" s="15"/>
    </row>
    <row r="53" spans="1:24" x14ac:dyDescent="0.3">
      <c r="A53" s="15"/>
      <c r="B53" s="9"/>
      <c r="C53" s="9"/>
      <c r="D53" s="9"/>
      <c r="E53" s="9"/>
      <c r="F53" s="9"/>
      <c r="G53" s="9"/>
      <c r="H53" s="9"/>
      <c r="I53" s="9"/>
      <c r="J53" s="9"/>
      <c r="K53" s="9"/>
      <c r="L53" s="9"/>
      <c r="M53" s="9"/>
      <c r="N53" s="9"/>
      <c r="O53" s="9"/>
      <c r="P53" s="9"/>
      <c r="Q53" s="9"/>
      <c r="R53" s="9"/>
      <c r="S53" s="9"/>
      <c r="T53" s="9"/>
      <c r="U53" s="9"/>
      <c r="V53" s="9"/>
      <c r="W53" s="9"/>
      <c r="X53" s="15"/>
    </row>
    <row r="54" spans="1:24" x14ac:dyDescent="0.3">
      <c r="A54" s="15"/>
      <c r="B54" s="9"/>
      <c r="C54" s="9"/>
      <c r="D54" s="9"/>
      <c r="E54" s="9"/>
      <c r="F54" s="9"/>
      <c r="G54" s="9"/>
      <c r="H54" s="9"/>
      <c r="I54" s="9"/>
      <c r="J54" s="9"/>
      <c r="K54" s="9"/>
      <c r="L54" s="9"/>
      <c r="M54" s="9"/>
      <c r="N54" s="9"/>
      <c r="O54" s="9"/>
      <c r="P54" s="9"/>
      <c r="Q54" s="9"/>
      <c r="R54" s="9"/>
      <c r="S54" s="9"/>
      <c r="T54" s="9"/>
      <c r="U54" s="9"/>
      <c r="V54" s="9"/>
      <c r="W54" s="9"/>
      <c r="X54" s="15"/>
    </row>
    <row r="55" spans="1:24" x14ac:dyDescent="0.3">
      <c r="A55" s="15"/>
      <c r="B55" s="9"/>
      <c r="C55" s="9"/>
      <c r="D55" s="9"/>
      <c r="E55" s="9"/>
      <c r="F55" s="9"/>
      <c r="G55" s="9"/>
      <c r="H55" s="9"/>
      <c r="I55" s="9"/>
      <c r="J55" s="9"/>
      <c r="K55" s="9"/>
      <c r="L55" s="9"/>
      <c r="M55" s="9"/>
      <c r="N55" s="9"/>
      <c r="O55" s="9"/>
      <c r="P55" s="9"/>
      <c r="Q55" s="9"/>
      <c r="R55" s="9"/>
      <c r="S55" s="9"/>
      <c r="T55" s="9"/>
      <c r="U55" s="9"/>
      <c r="V55" s="9"/>
      <c r="W55" s="9"/>
      <c r="X55" s="15"/>
    </row>
    <row r="56" spans="1:24" x14ac:dyDescent="0.3">
      <c r="A56" s="15"/>
      <c r="B56" s="9"/>
      <c r="C56" s="9"/>
      <c r="D56" s="9"/>
      <c r="E56" s="9"/>
      <c r="F56" s="9"/>
      <c r="G56" s="9"/>
      <c r="H56" s="9"/>
      <c r="I56" s="9"/>
      <c r="J56" s="9"/>
      <c r="K56" s="9"/>
      <c r="L56" s="9"/>
      <c r="M56" s="9"/>
      <c r="N56" s="9"/>
      <c r="O56" s="9"/>
      <c r="P56" s="9"/>
      <c r="Q56" s="9"/>
      <c r="R56" s="9"/>
      <c r="S56" s="9"/>
      <c r="T56" s="9"/>
      <c r="U56" s="9"/>
      <c r="V56" s="9"/>
      <c r="W56" s="9"/>
      <c r="X56" s="15"/>
    </row>
    <row r="57" spans="1:24" x14ac:dyDescent="0.3">
      <c r="A57" s="15"/>
      <c r="B57" s="9"/>
      <c r="C57" s="9"/>
      <c r="D57" s="9"/>
      <c r="E57" s="9"/>
      <c r="F57" s="9"/>
      <c r="G57" s="9"/>
      <c r="H57" s="9"/>
      <c r="I57" s="9"/>
      <c r="J57" s="9"/>
      <c r="K57" s="9"/>
      <c r="L57" s="9"/>
      <c r="M57" s="9"/>
      <c r="N57" s="9"/>
      <c r="O57" s="9"/>
      <c r="P57" s="9"/>
      <c r="Q57" s="9"/>
      <c r="R57" s="9"/>
      <c r="S57" s="9"/>
      <c r="T57" s="9"/>
      <c r="U57" s="9"/>
      <c r="V57" s="9"/>
      <c r="W57" s="9"/>
      <c r="X57" s="15"/>
    </row>
    <row r="58" spans="1:24" x14ac:dyDescent="0.3">
      <c r="A58" s="15"/>
      <c r="B58" s="9"/>
      <c r="C58" s="9"/>
      <c r="D58" s="9"/>
      <c r="E58" s="9"/>
      <c r="F58" s="9"/>
      <c r="G58" s="9"/>
      <c r="H58" s="9"/>
      <c r="I58" s="9"/>
      <c r="J58" s="9"/>
      <c r="K58" s="9"/>
      <c r="L58" s="9"/>
      <c r="M58" s="9"/>
      <c r="N58" s="9"/>
      <c r="O58" s="9"/>
      <c r="P58" s="9"/>
      <c r="Q58" s="9"/>
      <c r="R58" s="9"/>
      <c r="S58" s="9"/>
      <c r="T58" s="9"/>
      <c r="U58" s="9"/>
      <c r="V58" s="9"/>
      <c r="W58" s="9"/>
      <c r="X58" s="15"/>
    </row>
    <row r="59" spans="1:24" x14ac:dyDescent="0.3">
      <c r="A59" s="15"/>
      <c r="B59" s="9"/>
      <c r="C59" s="9"/>
      <c r="D59" s="9"/>
      <c r="E59" s="9"/>
      <c r="F59" s="9"/>
      <c r="G59" s="9"/>
      <c r="H59" s="9"/>
      <c r="I59" s="9"/>
      <c r="J59" s="9"/>
      <c r="K59" s="9"/>
      <c r="L59" s="9"/>
      <c r="M59" s="9"/>
      <c r="N59" s="9"/>
      <c r="O59" s="9"/>
      <c r="P59" s="9"/>
      <c r="Q59" s="9"/>
      <c r="R59" s="9"/>
      <c r="S59" s="9"/>
      <c r="T59" s="9"/>
      <c r="U59" s="9"/>
      <c r="V59" s="9"/>
      <c r="W59" s="9"/>
      <c r="X59" s="15"/>
    </row>
    <row r="60" spans="1:24" x14ac:dyDescent="0.3">
      <c r="A60" s="15"/>
      <c r="B60" s="9"/>
      <c r="C60" s="9"/>
      <c r="D60" s="9"/>
      <c r="E60" s="9"/>
      <c r="F60" s="9"/>
      <c r="G60" s="9"/>
      <c r="H60" s="9"/>
      <c r="I60" s="9"/>
      <c r="J60" s="9"/>
      <c r="K60" s="9"/>
      <c r="L60" s="9"/>
      <c r="M60" s="9"/>
      <c r="N60" s="9"/>
      <c r="O60" s="9"/>
      <c r="P60" s="9"/>
      <c r="Q60" s="9"/>
      <c r="R60" s="9"/>
      <c r="S60" s="9"/>
      <c r="T60" s="9"/>
      <c r="U60" s="9"/>
      <c r="V60" s="9"/>
      <c r="W60" s="9"/>
      <c r="X60" s="15"/>
    </row>
    <row r="61" spans="1:24" x14ac:dyDescent="0.3">
      <c r="A61" s="15"/>
      <c r="B61" s="9"/>
      <c r="C61" s="9"/>
      <c r="D61" s="9"/>
      <c r="E61" s="9"/>
      <c r="F61" s="9"/>
      <c r="G61" s="9"/>
      <c r="H61" s="9"/>
      <c r="I61" s="9"/>
      <c r="J61" s="9"/>
      <c r="K61" s="9"/>
      <c r="L61" s="9"/>
      <c r="M61" s="9"/>
      <c r="N61" s="9"/>
      <c r="O61" s="9"/>
      <c r="P61" s="9"/>
      <c r="Q61" s="9"/>
      <c r="R61" s="9"/>
      <c r="S61" s="9"/>
      <c r="T61" s="9"/>
      <c r="U61" s="9"/>
      <c r="V61" s="9"/>
      <c r="W61" s="9"/>
      <c r="X61" s="15"/>
    </row>
    <row r="62" spans="1:24" x14ac:dyDescent="0.3">
      <c r="A62" s="15"/>
      <c r="B62" s="9"/>
      <c r="C62" s="9"/>
      <c r="D62" s="9"/>
      <c r="E62" s="9"/>
      <c r="F62" s="9"/>
      <c r="G62" s="9"/>
      <c r="H62" s="9"/>
      <c r="I62" s="9"/>
      <c r="J62" s="9"/>
      <c r="K62" s="9"/>
      <c r="L62" s="9"/>
      <c r="M62" s="9"/>
      <c r="N62" s="9"/>
      <c r="O62" s="9"/>
      <c r="P62" s="9"/>
      <c r="Q62" s="9"/>
      <c r="R62" s="9"/>
      <c r="S62" s="9"/>
      <c r="T62" s="9"/>
      <c r="U62" s="9"/>
      <c r="V62" s="9"/>
      <c r="W62" s="9"/>
      <c r="X62" s="15"/>
    </row>
    <row r="63" spans="1:24" x14ac:dyDescent="0.3">
      <c r="A63" s="15"/>
      <c r="B63" s="9"/>
      <c r="C63" s="9"/>
      <c r="D63" s="9"/>
      <c r="E63" s="9"/>
      <c r="F63" s="9"/>
      <c r="G63" s="9"/>
      <c r="H63" s="9"/>
      <c r="I63" s="9"/>
      <c r="J63" s="9"/>
      <c r="K63" s="9"/>
      <c r="L63" s="9"/>
      <c r="M63" s="9"/>
      <c r="N63" s="9"/>
      <c r="O63" s="9"/>
      <c r="P63" s="9"/>
      <c r="Q63" s="9"/>
      <c r="R63" s="9"/>
      <c r="S63" s="9"/>
      <c r="T63" s="9"/>
      <c r="U63" s="9"/>
      <c r="V63" s="9"/>
      <c r="W63" s="9"/>
      <c r="X63" s="15"/>
    </row>
    <row r="64" spans="1:24" x14ac:dyDescent="0.3">
      <c r="A64" s="15"/>
      <c r="B64" s="9"/>
      <c r="C64" s="9"/>
      <c r="D64" s="9"/>
      <c r="E64" s="9"/>
      <c r="F64" s="9"/>
      <c r="G64" s="9"/>
      <c r="H64" s="9"/>
      <c r="I64" s="9"/>
      <c r="J64" s="9"/>
      <c r="K64" s="9"/>
      <c r="L64" s="9"/>
      <c r="M64" s="9"/>
      <c r="N64" s="9"/>
      <c r="O64" s="9"/>
      <c r="P64" s="9"/>
      <c r="Q64" s="9"/>
      <c r="R64" s="9"/>
      <c r="S64" s="9"/>
      <c r="T64" s="9"/>
      <c r="U64" s="9"/>
      <c r="V64" s="9"/>
      <c r="W64" s="9"/>
      <c r="X64" s="15"/>
    </row>
    <row r="65" spans="1:24" x14ac:dyDescent="0.3">
      <c r="A65" s="15"/>
      <c r="B65" s="9"/>
      <c r="C65" s="9"/>
      <c r="D65" s="9"/>
      <c r="E65" s="9"/>
      <c r="F65" s="9"/>
      <c r="G65" s="9"/>
      <c r="H65" s="9"/>
      <c r="I65" s="9"/>
      <c r="J65" s="9"/>
      <c r="K65" s="9"/>
      <c r="L65" s="9"/>
      <c r="M65" s="9"/>
      <c r="N65" s="9"/>
      <c r="O65" s="9"/>
      <c r="P65" s="9"/>
      <c r="Q65" s="9"/>
      <c r="R65" s="9"/>
      <c r="S65" s="9"/>
      <c r="T65" s="9"/>
      <c r="U65" s="9"/>
      <c r="V65" s="9"/>
      <c r="W65" s="9"/>
      <c r="X65" s="15"/>
    </row>
    <row r="66" spans="1:24" x14ac:dyDescent="0.3">
      <c r="A66" s="15"/>
      <c r="B66" s="9"/>
      <c r="C66" s="9"/>
      <c r="D66" s="9"/>
      <c r="E66" s="9"/>
      <c r="F66" s="9"/>
      <c r="G66" s="9"/>
      <c r="H66" s="9"/>
      <c r="I66" s="9"/>
      <c r="J66" s="9"/>
      <c r="K66" s="9"/>
      <c r="L66" s="9"/>
      <c r="M66" s="9"/>
      <c r="N66" s="9"/>
      <c r="O66" s="9"/>
      <c r="P66" s="9"/>
      <c r="Q66" s="9"/>
      <c r="R66" s="9"/>
      <c r="S66" s="9"/>
      <c r="T66" s="9"/>
      <c r="U66" s="9"/>
      <c r="V66" s="9"/>
      <c r="W66" s="9"/>
      <c r="X66" s="15"/>
    </row>
    <row r="67" spans="1:24" x14ac:dyDescent="0.3">
      <c r="A67" s="15"/>
      <c r="B67" s="9"/>
      <c r="C67" s="9"/>
      <c r="D67" s="9"/>
      <c r="E67" s="9"/>
      <c r="F67" s="9"/>
      <c r="G67" s="9"/>
      <c r="H67" s="9"/>
      <c r="I67" s="9"/>
      <c r="J67" s="9"/>
      <c r="K67" s="9"/>
      <c r="L67" s="9"/>
      <c r="M67" s="9"/>
      <c r="N67" s="9"/>
      <c r="O67" s="9"/>
      <c r="P67" s="9"/>
      <c r="Q67" s="9"/>
      <c r="R67" s="9"/>
      <c r="S67" s="9"/>
      <c r="T67" s="9"/>
      <c r="U67" s="9"/>
      <c r="V67" s="9"/>
      <c r="W67" s="9"/>
      <c r="X67" s="15"/>
    </row>
    <row r="68" spans="1:24" x14ac:dyDescent="0.3">
      <c r="A68" s="15"/>
      <c r="B68" s="9"/>
      <c r="C68" s="9"/>
      <c r="D68" s="9"/>
      <c r="E68" s="9"/>
      <c r="F68" s="9"/>
      <c r="G68" s="9"/>
      <c r="H68" s="9"/>
      <c r="I68" s="9"/>
      <c r="J68" s="9"/>
      <c r="K68" s="9"/>
      <c r="L68" s="9"/>
      <c r="M68" s="9"/>
      <c r="N68" s="9"/>
      <c r="O68" s="9"/>
      <c r="P68" s="9"/>
      <c r="Q68" s="9"/>
      <c r="R68" s="9"/>
      <c r="S68" s="9"/>
      <c r="T68" s="9"/>
      <c r="U68" s="9"/>
      <c r="V68" s="9"/>
      <c r="W68" s="9"/>
      <c r="X68" s="15"/>
    </row>
  </sheetData>
  <mergeCells count="5">
    <mergeCell ref="B13:O13"/>
    <mergeCell ref="B14:O14"/>
    <mergeCell ref="B9:O9"/>
    <mergeCell ref="B11:O11"/>
    <mergeCell ref="B12:O12"/>
  </mergeCells>
  <printOptions gridLines="1"/>
  <pageMargins left="0" right="0" top="0" bottom="0" header="0.3" footer="0.3"/>
  <pageSetup scale="4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F924-CE49-44AE-A265-D5103161E271}">
  <sheetPr>
    <tabColor theme="1"/>
    <pageSetUpPr fitToPage="1"/>
  </sheetPr>
  <dimension ref="A1:X68"/>
  <sheetViews>
    <sheetView zoomScale="85" zoomScaleNormal="85" workbookViewId="0">
      <selection activeCell="S14" sqref="S14"/>
    </sheetView>
  </sheetViews>
  <sheetFormatPr defaultColWidth="9.08984375" defaultRowHeight="14" x14ac:dyDescent="0.3"/>
  <cols>
    <col min="1" max="1" width="5.6328125" style="64" customWidth="1"/>
    <col min="2" max="4" width="5.453125" style="64" customWidth="1"/>
    <col min="5" max="5" width="14.08984375" style="64" customWidth="1"/>
    <col min="6" max="6" width="15.6328125" style="64" customWidth="1"/>
    <col min="7" max="7" width="13.36328125" style="64" customWidth="1"/>
    <col min="8" max="8" width="1.54296875" style="64" customWidth="1"/>
    <col min="9" max="9" width="42.36328125" style="64" customWidth="1"/>
    <col min="10" max="10" width="1.453125" style="64" customWidth="1"/>
    <col min="11" max="11" width="42.36328125" style="64" customWidth="1"/>
    <col min="12" max="12" width="2.90625" style="64" customWidth="1"/>
    <col min="13" max="13" width="20.90625" style="64" customWidth="1"/>
    <col min="14" max="14" width="5.6328125" style="64" customWidth="1"/>
    <col min="15" max="15" width="35.54296875" style="64" customWidth="1"/>
    <col min="16" max="16" width="2.90625" style="64" customWidth="1"/>
    <col min="17" max="17" width="14.36328125" style="64" customWidth="1"/>
    <col min="18" max="18" width="2.90625" style="64" customWidth="1"/>
    <col min="19" max="19" width="11.453125" style="64" customWidth="1"/>
    <col min="20" max="20" width="2.90625" style="64" customWidth="1"/>
    <col min="21" max="23" width="16.36328125" style="64" customWidth="1"/>
    <col min="24" max="24" width="5.6328125" style="64" customWidth="1"/>
    <col min="25" max="25" width="9.08984375" style="64"/>
    <col min="26" max="26" width="14" style="64" customWidth="1"/>
    <col min="27" max="27" width="22.6328125" style="64" customWidth="1"/>
    <col min="28" max="28" width="16.453125" style="64" customWidth="1"/>
    <col min="29" max="29" width="9.08984375" style="64"/>
    <col min="30" max="30" width="13" style="64" customWidth="1"/>
    <col min="31" max="31" width="9.08984375" style="64"/>
    <col min="32" max="32" width="11" style="64" customWidth="1"/>
    <col min="33" max="16384" width="9.08984375" style="64"/>
  </cols>
  <sheetData>
    <row r="1" spans="1:24" ht="75" customHeight="1" x14ac:dyDescent="0.3">
      <c r="A1" s="63"/>
      <c r="B1" s="63"/>
      <c r="C1" s="63"/>
      <c r="D1" s="63"/>
      <c r="E1" s="63"/>
      <c r="F1" s="63"/>
      <c r="G1" s="63"/>
      <c r="H1" s="63"/>
      <c r="I1" s="63"/>
      <c r="J1" s="63"/>
      <c r="K1" s="63"/>
      <c r="L1" s="63"/>
      <c r="M1" s="63"/>
      <c r="N1" s="63"/>
      <c r="O1" s="63"/>
      <c r="P1" s="63"/>
      <c r="Q1" s="63"/>
      <c r="R1" s="63"/>
      <c r="S1" s="63"/>
      <c r="T1" s="63"/>
      <c r="U1" s="63"/>
      <c r="V1" s="63"/>
      <c r="W1" s="63"/>
      <c r="X1" s="63"/>
    </row>
    <row r="2" spans="1:24" ht="15" customHeight="1" x14ac:dyDescent="0.3">
      <c r="A2" s="69"/>
      <c r="B2" s="69"/>
      <c r="C2" s="69"/>
      <c r="D2" s="69"/>
      <c r="E2" s="69"/>
      <c r="F2" s="69"/>
      <c r="G2" s="69"/>
      <c r="H2" s="69"/>
      <c r="I2" s="69"/>
      <c r="J2" s="69"/>
      <c r="K2" s="69"/>
      <c r="L2" s="69"/>
      <c r="M2" s="69"/>
      <c r="N2" s="69"/>
      <c r="O2" s="69"/>
      <c r="P2" s="69"/>
      <c r="Q2" s="69"/>
      <c r="R2" s="69"/>
      <c r="S2" s="69"/>
      <c r="T2" s="69"/>
      <c r="U2" s="69"/>
      <c r="V2" s="69"/>
      <c r="W2" s="69"/>
      <c r="X2" s="69"/>
    </row>
    <row r="3" spans="1:24" s="67" customFormat="1" ht="30.75" customHeight="1" x14ac:dyDescent="0.35">
      <c r="A3" s="65"/>
      <c r="B3" s="96"/>
      <c r="C3" s="65"/>
      <c r="D3" s="65"/>
      <c r="E3" s="65"/>
      <c r="F3" s="65"/>
      <c r="G3" s="65"/>
      <c r="H3" s="65"/>
      <c r="I3" s="65"/>
      <c r="J3" s="65"/>
      <c r="K3" s="65"/>
      <c r="L3" s="65"/>
      <c r="M3" s="65"/>
      <c r="N3" s="65"/>
      <c r="O3" s="65"/>
      <c r="P3" s="65"/>
      <c r="Q3" s="65"/>
      <c r="R3" s="65"/>
      <c r="S3" s="65"/>
      <c r="T3" s="65"/>
      <c r="U3" s="65"/>
      <c r="V3" s="65"/>
      <c r="W3" s="229" t="str">
        <f>'Front Cover'!Y3</f>
        <v>December 2024</v>
      </c>
      <c r="X3" s="65"/>
    </row>
    <row r="4" spans="1:24" ht="18.75" customHeight="1" x14ac:dyDescent="0.3">
      <c r="A4" s="15"/>
      <c r="B4" s="100" t="s">
        <v>285</v>
      </c>
      <c r="C4" s="8"/>
      <c r="D4" s="8"/>
      <c r="E4" s="8"/>
      <c r="F4" s="8"/>
      <c r="G4" s="8"/>
      <c r="H4" s="8"/>
      <c r="I4" s="8"/>
      <c r="J4" s="8"/>
      <c r="K4" s="8"/>
      <c r="L4" s="8"/>
      <c r="M4" s="8"/>
      <c r="N4" s="8"/>
      <c r="O4" s="8"/>
      <c r="P4" s="8"/>
      <c r="Q4" s="8"/>
      <c r="R4" s="8"/>
      <c r="S4" s="8"/>
      <c r="T4" s="8"/>
      <c r="U4" s="8"/>
      <c r="V4" s="8"/>
      <c r="W4" s="8"/>
      <c r="X4" s="15"/>
    </row>
    <row r="5" spans="1:24" ht="5.25" customHeight="1" x14ac:dyDescent="0.3">
      <c r="A5" s="15"/>
      <c r="B5" s="8"/>
      <c r="C5" s="8"/>
      <c r="D5" s="8"/>
      <c r="E5" s="8"/>
      <c r="F5" s="8"/>
      <c r="G5" s="8"/>
      <c r="H5" s="8"/>
      <c r="I5" s="8"/>
      <c r="J5" s="8"/>
      <c r="K5" s="8"/>
      <c r="L5" s="8"/>
      <c r="M5" s="8"/>
      <c r="N5" s="8"/>
      <c r="O5" s="8"/>
      <c r="P5" s="8"/>
      <c r="Q5" s="8"/>
      <c r="R5" s="8"/>
      <c r="S5" s="8"/>
      <c r="T5" s="8"/>
      <c r="U5" s="8"/>
      <c r="V5" s="8"/>
      <c r="W5" s="8"/>
      <c r="X5" s="15"/>
    </row>
    <row r="6" spans="1:24" x14ac:dyDescent="0.3">
      <c r="A6" s="15"/>
      <c r="B6" s="8"/>
      <c r="C6" s="8"/>
      <c r="D6" s="8"/>
      <c r="E6" s="8"/>
      <c r="F6" s="8"/>
      <c r="G6" s="8"/>
      <c r="H6" s="8"/>
      <c r="I6" s="8"/>
      <c r="J6" s="8"/>
      <c r="K6" s="8"/>
      <c r="L6" s="8"/>
      <c r="M6" s="8"/>
      <c r="N6" s="8"/>
      <c r="O6" s="8"/>
      <c r="P6" s="8"/>
      <c r="Q6" s="8"/>
      <c r="R6" s="8"/>
      <c r="S6" s="8"/>
      <c r="T6" s="8"/>
      <c r="U6" s="8"/>
      <c r="V6" s="8"/>
      <c r="W6" s="8"/>
      <c r="X6" s="15"/>
    </row>
    <row r="7" spans="1:24" ht="18.75" customHeight="1" x14ac:dyDescent="0.35">
      <c r="A7" s="15"/>
      <c r="B7" s="92"/>
      <c r="C7" s="92"/>
      <c r="D7" s="92"/>
      <c r="E7" s="92"/>
      <c r="F7" s="92"/>
      <c r="G7" s="92"/>
      <c r="H7" s="92"/>
      <c r="I7" s="92"/>
      <c r="J7" s="92"/>
      <c r="K7" s="92"/>
      <c r="L7" s="92"/>
      <c r="M7" s="92"/>
      <c r="N7" s="92"/>
      <c r="O7" s="92"/>
      <c r="P7" s="92"/>
      <c r="Q7" s="92"/>
      <c r="R7" s="92"/>
      <c r="S7" s="92"/>
      <c r="T7" s="8"/>
      <c r="U7" s="8"/>
      <c r="V7" s="8"/>
      <c r="W7" s="8"/>
      <c r="X7" s="15"/>
    </row>
    <row r="8" spans="1:24" ht="5.25" customHeight="1" x14ac:dyDescent="0.35">
      <c r="A8" s="15"/>
      <c r="B8" s="92"/>
      <c r="C8" s="92"/>
      <c r="D8" s="92"/>
      <c r="E8" s="92"/>
      <c r="F8" s="92"/>
      <c r="G8" s="92"/>
      <c r="H8" s="92"/>
      <c r="I8" s="92"/>
      <c r="J8" s="92"/>
      <c r="K8" s="92"/>
      <c r="L8" s="92"/>
      <c r="M8" s="92"/>
      <c r="N8" s="92"/>
      <c r="O8" s="92"/>
      <c r="P8" s="92"/>
      <c r="Q8" s="92"/>
      <c r="R8" s="92"/>
      <c r="S8" s="92"/>
      <c r="T8" s="8"/>
      <c r="U8" s="8"/>
      <c r="V8" s="8"/>
      <c r="W8" s="8"/>
      <c r="X8" s="15"/>
    </row>
    <row r="9" spans="1:24" ht="45" customHeight="1" x14ac:dyDescent="0.35">
      <c r="A9" s="15"/>
      <c r="B9" s="427"/>
      <c r="C9" s="427"/>
      <c r="D9" s="427"/>
      <c r="E9" s="427"/>
      <c r="F9" s="427"/>
      <c r="G9" s="427"/>
      <c r="H9" s="427"/>
      <c r="I9" s="427"/>
      <c r="J9" s="427"/>
      <c r="K9" s="427"/>
      <c r="L9" s="427"/>
      <c r="M9" s="427"/>
      <c r="N9" s="427"/>
      <c r="O9" s="427"/>
      <c r="P9" s="92"/>
      <c r="Q9" s="92"/>
      <c r="R9" s="92"/>
      <c r="S9" s="92"/>
      <c r="T9" s="8"/>
      <c r="U9" s="8"/>
      <c r="V9" s="8"/>
      <c r="W9" s="8"/>
      <c r="X9" s="15"/>
    </row>
    <row r="10" spans="1:24" ht="5.25" customHeight="1" x14ac:dyDescent="0.35">
      <c r="A10" s="15"/>
      <c r="B10" s="253"/>
      <c r="C10" s="253"/>
      <c r="D10" s="253"/>
      <c r="E10" s="253"/>
      <c r="F10" s="253"/>
      <c r="G10" s="253"/>
      <c r="H10" s="253"/>
      <c r="I10" s="253"/>
      <c r="J10" s="253"/>
      <c r="K10" s="253"/>
      <c r="L10" s="253"/>
      <c r="M10" s="253"/>
      <c r="N10" s="253"/>
      <c r="O10" s="253"/>
      <c r="P10" s="92"/>
      <c r="Q10" s="92"/>
      <c r="R10" s="92"/>
      <c r="S10" s="92"/>
      <c r="T10" s="8"/>
      <c r="U10" s="8"/>
      <c r="V10" s="8"/>
      <c r="W10" s="8"/>
      <c r="X10" s="15"/>
    </row>
    <row r="11" spans="1:24" ht="60.75" customHeight="1" x14ac:dyDescent="0.35">
      <c r="A11" s="15"/>
      <c r="B11" s="427"/>
      <c r="C11" s="427"/>
      <c r="D11" s="427"/>
      <c r="E11" s="427"/>
      <c r="F11" s="427"/>
      <c r="G11" s="427"/>
      <c r="H11" s="427"/>
      <c r="I11" s="427"/>
      <c r="J11" s="427"/>
      <c r="K11" s="427"/>
      <c r="L11" s="427"/>
      <c r="M11" s="427"/>
      <c r="N11" s="427"/>
      <c r="O11" s="427"/>
      <c r="P11" s="92"/>
      <c r="Q11" s="92"/>
      <c r="R11" s="92"/>
      <c r="S11" s="92"/>
      <c r="T11" s="8"/>
      <c r="U11" s="8"/>
      <c r="V11" s="8"/>
      <c r="W11" s="8"/>
      <c r="X11" s="15"/>
    </row>
    <row r="12" spans="1:24" ht="88.5" customHeight="1" x14ac:dyDescent="0.35">
      <c r="A12" s="15"/>
      <c r="B12" s="427"/>
      <c r="C12" s="427"/>
      <c r="D12" s="427"/>
      <c r="E12" s="427"/>
      <c r="F12" s="427"/>
      <c r="G12" s="427"/>
      <c r="H12" s="427"/>
      <c r="I12" s="427"/>
      <c r="J12" s="427"/>
      <c r="K12" s="427"/>
      <c r="L12" s="427"/>
      <c r="M12" s="427"/>
      <c r="N12" s="427"/>
      <c r="O12" s="427"/>
      <c r="P12" s="92"/>
      <c r="Q12" s="92"/>
      <c r="R12" s="92"/>
      <c r="S12" s="92"/>
      <c r="T12" s="8"/>
      <c r="U12" s="8"/>
      <c r="V12" s="8"/>
      <c r="W12" s="8"/>
      <c r="X12" s="15"/>
    </row>
    <row r="13" spans="1:24" ht="82.5" customHeight="1" x14ac:dyDescent="0.35">
      <c r="A13" s="15"/>
      <c r="B13" s="427"/>
      <c r="C13" s="427"/>
      <c r="D13" s="427"/>
      <c r="E13" s="427"/>
      <c r="F13" s="427"/>
      <c r="G13" s="427"/>
      <c r="H13" s="427"/>
      <c r="I13" s="427"/>
      <c r="J13" s="427"/>
      <c r="K13" s="427"/>
      <c r="L13" s="427"/>
      <c r="M13" s="427"/>
      <c r="N13" s="427"/>
      <c r="O13" s="427"/>
      <c r="P13" s="92"/>
      <c r="Q13" s="92"/>
      <c r="R13" s="92"/>
      <c r="S13" s="92"/>
      <c r="T13" s="8"/>
      <c r="U13" s="8"/>
      <c r="V13" s="8"/>
      <c r="W13" s="8"/>
      <c r="X13" s="15"/>
    </row>
    <row r="14" spans="1:24" ht="117.75" customHeight="1" x14ac:dyDescent="0.35">
      <c r="A14" s="15"/>
      <c r="B14" s="427"/>
      <c r="C14" s="427"/>
      <c r="D14" s="427"/>
      <c r="E14" s="427"/>
      <c r="F14" s="427"/>
      <c r="G14" s="427"/>
      <c r="H14" s="427"/>
      <c r="I14" s="427"/>
      <c r="J14" s="427"/>
      <c r="K14" s="427"/>
      <c r="L14" s="427"/>
      <c r="M14" s="427"/>
      <c r="N14" s="427"/>
      <c r="O14" s="427"/>
      <c r="P14" s="92"/>
      <c r="Q14" s="92"/>
      <c r="R14" s="92"/>
      <c r="S14" s="92"/>
      <c r="T14" s="8"/>
      <c r="U14" s="8"/>
      <c r="V14" s="8"/>
      <c r="W14" s="8"/>
      <c r="X14" s="15"/>
    </row>
    <row r="15" spans="1:24" ht="60.75" customHeight="1" x14ac:dyDescent="0.35">
      <c r="A15" s="15"/>
      <c r="B15" s="253"/>
      <c r="C15" s="253"/>
      <c r="D15" s="253"/>
      <c r="E15" s="253"/>
      <c r="F15" s="253"/>
      <c r="G15" s="253"/>
      <c r="H15" s="253"/>
      <c r="I15" s="253"/>
      <c r="J15" s="253"/>
      <c r="K15" s="253"/>
      <c r="L15" s="253"/>
      <c r="M15" s="253"/>
      <c r="N15" s="253"/>
      <c r="O15" s="253"/>
      <c r="P15" s="92"/>
      <c r="Q15" s="92"/>
      <c r="R15" s="92"/>
      <c r="S15" s="92"/>
      <c r="T15" s="9"/>
      <c r="U15" s="9"/>
      <c r="V15" s="9"/>
      <c r="W15" s="9"/>
      <c r="X15" s="15"/>
    </row>
    <row r="16" spans="1:24" ht="14.5" x14ac:dyDescent="0.35">
      <c r="A16" s="15"/>
      <c r="B16" s="92"/>
      <c r="C16" s="92"/>
      <c r="D16" s="92"/>
      <c r="E16" s="92"/>
      <c r="F16" s="92"/>
      <c r="G16" s="92"/>
      <c r="H16" s="92"/>
      <c r="I16" s="92"/>
      <c r="J16" s="92"/>
      <c r="K16" s="92"/>
      <c r="L16" s="92"/>
      <c r="M16" s="92"/>
      <c r="N16" s="92"/>
      <c r="O16" s="92"/>
      <c r="P16" s="92"/>
      <c r="Q16" s="92"/>
      <c r="R16" s="92"/>
      <c r="S16" s="92"/>
      <c r="T16" s="9"/>
      <c r="U16" s="9"/>
      <c r="V16" s="9"/>
      <c r="W16" s="9"/>
      <c r="X16" s="15"/>
    </row>
    <row r="17" spans="1:24" ht="14.5" x14ac:dyDescent="0.35">
      <c r="A17" s="15"/>
      <c r="B17" s="92"/>
      <c r="C17" s="92"/>
      <c r="D17" s="92"/>
      <c r="E17" s="92"/>
      <c r="F17" s="92"/>
      <c r="G17" s="92"/>
      <c r="H17" s="92"/>
      <c r="I17" s="92"/>
      <c r="J17" s="92"/>
      <c r="K17" s="92"/>
      <c r="L17" s="92"/>
      <c r="M17" s="92"/>
      <c r="N17" s="92"/>
      <c r="O17" s="92"/>
      <c r="P17" s="92"/>
      <c r="Q17" s="92"/>
      <c r="R17" s="92"/>
      <c r="S17" s="92"/>
      <c r="T17" s="9"/>
      <c r="U17" s="9"/>
      <c r="V17" s="9"/>
      <c r="W17" s="9"/>
      <c r="X17" s="15"/>
    </row>
    <row r="18" spans="1:24" ht="14.5" x14ac:dyDescent="0.35">
      <c r="A18" s="15"/>
      <c r="B18" s="92"/>
      <c r="C18" s="92"/>
      <c r="D18" s="92"/>
      <c r="E18" s="92"/>
      <c r="F18" s="92"/>
      <c r="G18" s="92"/>
      <c r="H18" s="92"/>
      <c r="I18" s="92"/>
      <c r="J18" s="92"/>
      <c r="K18" s="92"/>
      <c r="L18" s="92"/>
      <c r="M18" s="92"/>
      <c r="N18" s="92"/>
      <c r="O18" s="92"/>
      <c r="P18" s="92"/>
      <c r="Q18" s="92"/>
      <c r="R18" s="92"/>
      <c r="S18" s="92"/>
      <c r="T18" s="9"/>
      <c r="U18" s="9"/>
      <c r="V18" s="9"/>
      <c r="W18" s="9"/>
      <c r="X18" s="15"/>
    </row>
    <row r="19" spans="1:24" ht="14.5" x14ac:dyDescent="0.35">
      <c r="A19" s="15"/>
      <c r="B19" s="92"/>
      <c r="C19" s="92"/>
      <c r="D19" s="92"/>
      <c r="E19" s="92"/>
      <c r="F19" s="92"/>
      <c r="G19" s="92"/>
      <c r="H19" s="92"/>
      <c r="I19" s="92"/>
      <c r="J19" s="92"/>
      <c r="K19" s="92"/>
      <c r="L19" s="92"/>
      <c r="M19" s="92"/>
      <c r="N19" s="92"/>
      <c r="O19" s="92"/>
      <c r="P19" s="92"/>
      <c r="Q19" s="92"/>
      <c r="R19" s="92"/>
      <c r="S19" s="92"/>
      <c r="T19" s="9"/>
      <c r="U19" s="9"/>
      <c r="V19" s="9"/>
      <c r="W19" s="9"/>
      <c r="X19" s="15"/>
    </row>
    <row r="20" spans="1:24" ht="14.5" x14ac:dyDescent="0.35">
      <c r="A20" s="15"/>
      <c r="B20" s="92"/>
      <c r="C20" s="92"/>
      <c r="D20" s="92"/>
      <c r="E20" s="92"/>
      <c r="F20" s="92"/>
      <c r="G20" s="92"/>
      <c r="H20" s="92"/>
      <c r="I20" s="92"/>
      <c r="J20" s="92"/>
      <c r="K20" s="92"/>
      <c r="L20" s="92"/>
      <c r="M20" s="92"/>
      <c r="N20" s="92"/>
      <c r="O20" s="92"/>
      <c r="P20" s="92"/>
      <c r="Q20" s="92"/>
      <c r="R20" s="92"/>
      <c r="S20" s="92"/>
      <c r="T20" s="9"/>
      <c r="U20" s="9"/>
      <c r="V20" s="9"/>
      <c r="W20" s="9"/>
      <c r="X20" s="15"/>
    </row>
    <row r="21" spans="1:24" ht="14.5" x14ac:dyDescent="0.35">
      <c r="A21" s="15"/>
      <c r="B21" s="92"/>
      <c r="C21" s="92"/>
      <c r="D21" s="92"/>
      <c r="E21" s="92"/>
      <c r="F21" s="92"/>
      <c r="G21" s="92"/>
      <c r="H21" s="92"/>
      <c r="I21" s="92"/>
      <c r="J21" s="92"/>
      <c r="K21" s="92"/>
      <c r="L21" s="92"/>
      <c r="M21" s="92"/>
      <c r="N21" s="92"/>
      <c r="O21" s="92"/>
      <c r="P21" s="92"/>
      <c r="Q21" s="92"/>
      <c r="R21" s="92"/>
      <c r="S21" s="92"/>
      <c r="T21" s="9"/>
      <c r="U21" s="9"/>
      <c r="V21" s="9"/>
      <c r="W21" s="9"/>
      <c r="X21" s="15"/>
    </row>
    <row r="22" spans="1:24" ht="14.5" x14ac:dyDescent="0.35">
      <c r="A22" s="15"/>
      <c r="B22" s="92"/>
      <c r="C22" s="92"/>
      <c r="D22" s="92"/>
      <c r="E22" s="92"/>
      <c r="F22" s="92"/>
      <c r="G22" s="92"/>
      <c r="H22" s="92"/>
      <c r="I22" s="92"/>
      <c r="J22" s="92"/>
      <c r="K22" s="92"/>
      <c r="L22" s="92"/>
      <c r="M22" s="92"/>
      <c r="N22" s="92"/>
      <c r="O22" s="92"/>
      <c r="P22" s="92"/>
      <c r="Q22" s="92"/>
      <c r="R22" s="92"/>
      <c r="S22" s="92"/>
      <c r="T22" s="9"/>
      <c r="U22" s="9"/>
      <c r="V22" s="9"/>
      <c r="W22" s="9"/>
      <c r="X22" s="15"/>
    </row>
    <row r="23" spans="1:24" ht="14.5" x14ac:dyDescent="0.35">
      <c r="A23" s="15"/>
      <c r="B23" s="92"/>
      <c r="C23" s="92"/>
      <c r="D23" s="92"/>
      <c r="E23" s="92"/>
      <c r="F23" s="92"/>
      <c r="G23" s="92"/>
      <c r="H23" s="92"/>
      <c r="I23" s="92"/>
      <c r="J23" s="92"/>
      <c r="K23" s="92"/>
      <c r="L23" s="92"/>
      <c r="M23" s="92"/>
      <c r="N23" s="92"/>
      <c r="O23" s="92"/>
      <c r="P23" s="92"/>
      <c r="Q23" s="92"/>
      <c r="R23" s="92"/>
      <c r="S23" s="92"/>
      <c r="T23" s="9"/>
      <c r="U23" s="9"/>
      <c r="V23" s="9"/>
      <c r="W23" s="9"/>
      <c r="X23" s="15"/>
    </row>
    <row r="24" spans="1:24" ht="14.5" x14ac:dyDescent="0.35">
      <c r="A24" s="15"/>
      <c r="B24" s="92"/>
      <c r="C24" s="92"/>
      <c r="D24" s="92"/>
      <c r="E24" s="92"/>
      <c r="F24" s="92"/>
      <c r="G24" s="92"/>
      <c r="H24" s="92"/>
      <c r="I24" s="92"/>
      <c r="J24" s="92"/>
      <c r="K24" s="92"/>
      <c r="L24" s="92"/>
      <c r="M24" s="92"/>
      <c r="N24" s="92"/>
      <c r="O24" s="92"/>
      <c r="P24" s="92"/>
      <c r="Q24" s="92"/>
      <c r="R24" s="92"/>
      <c r="S24" s="92"/>
      <c r="T24" s="9"/>
      <c r="U24" s="9"/>
      <c r="V24" s="9"/>
      <c r="W24" s="9"/>
      <c r="X24" s="15"/>
    </row>
    <row r="25" spans="1:24" ht="14.5" x14ac:dyDescent="0.35">
      <c r="A25" s="15"/>
      <c r="B25" s="92"/>
      <c r="C25" s="92"/>
      <c r="D25" s="92"/>
      <c r="E25" s="92"/>
      <c r="F25" s="92"/>
      <c r="G25" s="92"/>
      <c r="H25" s="92"/>
      <c r="I25" s="92"/>
      <c r="J25" s="92"/>
      <c r="K25" s="92"/>
      <c r="L25" s="92"/>
      <c r="M25" s="92"/>
      <c r="N25" s="92"/>
      <c r="O25" s="92"/>
      <c r="P25" s="92"/>
      <c r="Q25" s="92"/>
      <c r="R25" s="92"/>
      <c r="S25" s="92"/>
      <c r="T25" s="9"/>
      <c r="U25" s="9"/>
      <c r="V25" s="9"/>
      <c r="W25" s="9"/>
      <c r="X25" s="15"/>
    </row>
    <row r="26" spans="1:24" ht="14.5" x14ac:dyDescent="0.35">
      <c r="A26" s="15"/>
      <c r="B26" s="92"/>
      <c r="C26" s="92"/>
      <c r="D26" s="92"/>
      <c r="E26" s="92"/>
      <c r="F26" s="92"/>
      <c r="G26" s="92"/>
      <c r="H26" s="92"/>
      <c r="I26" s="92"/>
      <c r="J26" s="92"/>
      <c r="K26" s="92"/>
      <c r="L26" s="92"/>
      <c r="M26" s="92"/>
      <c r="N26" s="92"/>
      <c r="O26" s="92"/>
      <c r="P26" s="92"/>
      <c r="Q26" s="92"/>
      <c r="R26" s="92"/>
      <c r="S26" s="92"/>
      <c r="T26" s="9"/>
      <c r="U26" s="9"/>
      <c r="V26" s="9"/>
      <c r="W26" s="9"/>
      <c r="X26" s="15"/>
    </row>
    <row r="27" spans="1:24" ht="14.5" x14ac:dyDescent="0.35">
      <c r="A27" s="15"/>
      <c r="B27" s="92"/>
      <c r="C27" s="92"/>
      <c r="D27" s="92"/>
      <c r="E27" s="92"/>
      <c r="F27" s="92"/>
      <c r="G27" s="92"/>
      <c r="H27" s="92"/>
      <c r="I27" s="92"/>
      <c r="J27" s="92"/>
      <c r="K27" s="92"/>
      <c r="L27" s="92"/>
      <c r="M27" s="92"/>
      <c r="N27" s="92"/>
      <c r="O27" s="92"/>
      <c r="P27" s="92"/>
      <c r="Q27" s="92"/>
      <c r="R27" s="92"/>
      <c r="S27" s="92"/>
      <c r="T27" s="9"/>
      <c r="U27" s="9"/>
      <c r="V27" s="9"/>
      <c r="W27" s="9"/>
      <c r="X27" s="15"/>
    </row>
    <row r="28" spans="1:24" ht="14.5" x14ac:dyDescent="0.35">
      <c r="A28" s="15"/>
      <c r="B28" s="92"/>
      <c r="C28" s="92"/>
      <c r="D28" s="92"/>
      <c r="E28" s="92"/>
      <c r="F28" s="92"/>
      <c r="G28" s="92"/>
      <c r="H28" s="92"/>
      <c r="I28" s="92"/>
      <c r="J28" s="92"/>
      <c r="K28" s="92"/>
      <c r="L28" s="92"/>
      <c r="M28" s="92"/>
      <c r="N28" s="92"/>
      <c r="O28" s="92"/>
      <c r="P28" s="92"/>
      <c r="Q28" s="92"/>
      <c r="R28" s="92"/>
      <c r="S28" s="92"/>
      <c r="T28" s="9"/>
      <c r="U28" s="9"/>
      <c r="V28" s="9"/>
      <c r="W28" s="9"/>
      <c r="X28" s="15"/>
    </row>
    <row r="29" spans="1:24" ht="14.5" x14ac:dyDescent="0.35">
      <c r="A29" s="15"/>
      <c r="B29" s="92"/>
      <c r="C29" s="92"/>
      <c r="D29" s="92"/>
      <c r="E29" s="92"/>
      <c r="F29" s="92"/>
      <c r="G29" s="92"/>
      <c r="H29" s="92"/>
      <c r="I29" s="92"/>
      <c r="J29" s="92"/>
      <c r="K29" s="92"/>
      <c r="L29" s="92"/>
      <c r="M29" s="92"/>
      <c r="N29" s="92"/>
      <c r="O29" s="92"/>
      <c r="P29" s="92"/>
      <c r="Q29" s="92"/>
      <c r="R29" s="92"/>
      <c r="S29" s="92"/>
      <c r="T29" s="9"/>
      <c r="U29" s="9"/>
      <c r="V29" s="9"/>
      <c r="W29" s="9"/>
      <c r="X29" s="15"/>
    </row>
    <row r="30" spans="1:24" ht="14.5" x14ac:dyDescent="0.35">
      <c r="A30" s="15"/>
      <c r="B30" s="92"/>
      <c r="C30" s="92"/>
      <c r="D30" s="92"/>
      <c r="E30" s="92"/>
      <c r="F30" s="92"/>
      <c r="G30" s="92"/>
      <c r="H30" s="92"/>
      <c r="I30" s="92"/>
      <c r="J30" s="92"/>
      <c r="K30" s="92"/>
      <c r="L30" s="92"/>
      <c r="M30" s="92"/>
      <c r="N30" s="92"/>
      <c r="O30" s="92"/>
      <c r="P30" s="92"/>
      <c r="Q30" s="92"/>
      <c r="R30" s="92"/>
      <c r="S30" s="92"/>
      <c r="T30" s="9"/>
      <c r="U30" s="9"/>
      <c r="V30" s="9"/>
      <c r="W30" s="9"/>
      <c r="X30" s="15"/>
    </row>
    <row r="31" spans="1:24" ht="14.5" x14ac:dyDescent="0.35">
      <c r="A31" s="15"/>
      <c r="B31" s="92"/>
      <c r="C31" s="92"/>
      <c r="D31" s="92"/>
      <c r="E31" s="92"/>
      <c r="F31" s="92"/>
      <c r="G31" s="92"/>
      <c r="H31" s="92"/>
      <c r="I31" s="92"/>
      <c r="J31" s="92"/>
      <c r="K31" s="92"/>
      <c r="L31" s="92"/>
      <c r="M31" s="92"/>
      <c r="N31" s="92"/>
      <c r="O31" s="92"/>
      <c r="P31" s="92"/>
      <c r="Q31" s="92"/>
      <c r="R31" s="92"/>
      <c r="S31" s="92"/>
      <c r="T31" s="9"/>
      <c r="U31" s="9"/>
      <c r="V31" s="9"/>
      <c r="W31" s="9"/>
      <c r="X31" s="15"/>
    </row>
    <row r="32" spans="1:24" ht="14.5" x14ac:dyDescent="0.35">
      <c r="A32" s="15"/>
      <c r="B32" s="92"/>
      <c r="C32" s="92"/>
      <c r="D32" s="92"/>
      <c r="E32" s="92"/>
      <c r="F32" s="92"/>
      <c r="G32" s="92"/>
      <c r="H32" s="92"/>
      <c r="I32" s="92"/>
      <c r="J32" s="92"/>
      <c r="K32" s="92"/>
      <c r="L32" s="92"/>
      <c r="M32" s="92"/>
      <c r="N32" s="92"/>
      <c r="O32" s="92"/>
      <c r="P32" s="92"/>
      <c r="Q32" s="92"/>
      <c r="R32" s="92"/>
      <c r="S32" s="92"/>
      <c r="T32" s="9"/>
      <c r="U32" s="9"/>
      <c r="V32" s="9"/>
      <c r="W32" s="9"/>
      <c r="X32" s="15"/>
    </row>
    <row r="33" spans="1:24" ht="14.5" x14ac:dyDescent="0.35">
      <c r="A33" s="15"/>
      <c r="B33" s="92"/>
      <c r="C33" s="92"/>
      <c r="D33" s="92"/>
      <c r="E33" s="92"/>
      <c r="F33" s="92"/>
      <c r="G33" s="92"/>
      <c r="H33" s="92"/>
      <c r="I33" s="92"/>
      <c r="J33" s="92"/>
      <c r="K33" s="92"/>
      <c r="L33" s="92"/>
      <c r="M33" s="92"/>
      <c r="N33" s="92"/>
      <c r="O33" s="92"/>
      <c r="P33" s="92"/>
      <c r="Q33" s="92"/>
      <c r="R33" s="92"/>
      <c r="S33" s="92"/>
      <c r="T33" s="9"/>
      <c r="U33" s="9"/>
      <c r="V33" s="9"/>
      <c r="W33" s="9"/>
      <c r="X33" s="15"/>
    </row>
    <row r="34" spans="1:24" ht="14.5" x14ac:dyDescent="0.35">
      <c r="A34" s="15"/>
      <c r="B34" s="92"/>
      <c r="C34" s="92"/>
      <c r="D34" s="92"/>
      <c r="E34" s="92"/>
      <c r="F34" s="92"/>
      <c r="G34" s="92"/>
      <c r="H34" s="92"/>
      <c r="I34" s="92"/>
      <c r="J34" s="92"/>
      <c r="K34" s="92"/>
      <c r="L34" s="92"/>
      <c r="M34" s="92"/>
      <c r="N34" s="92"/>
      <c r="O34" s="92"/>
      <c r="P34" s="92"/>
      <c r="Q34" s="92"/>
      <c r="R34" s="92"/>
      <c r="S34" s="92"/>
      <c r="T34" s="9"/>
      <c r="U34" s="9"/>
      <c r="V34" s="9"/>
      <c r="W34" s="9"/>
      <c r="X34" s="15"/>
    </row>
    <row r="35" spans="1:24" ht="14.5" x14ac:dyDescent="0.35">
      <c r="A35" s="15"/>
      <c r="B35" s="92"/>
      <c r="C35" s="92"/>
      <c r="D35" s="92"/>
      <c r="E35" s="92"/>
      <c r="F35" s="92"/>
      <c r="G35" s="92"/>
      <c r="H35" s="92"/>
      <c r="I35" s="92"/>
      <c r="J35" s="92"/>
      <c r="K35" s="92"/>
      <c r="L35" s="92"/>
      <c r="M35" s="92"/>
      <c r="N35" s="92"/>
      <c r="O35" s="92"/>
      <c r="P35" s="92"/>
      <c r="Q35" s="92"/>
      <c r="R35" s="92"/>
      <c r="S35" s="92"/>
      <c r="T35" s="9"/>
      <c r="U35" s="9"/>
      <c r="V35" s="9"/>
      <c r="W35" s="9"/>
      <c r="X35" s="15"/>
    </row>
    <row r="36" spans="1:24" ht="14.5" x14ac:dyDescent="0.35">
      <c r="A36" s="15"/>
      <c r="B36" s="92"/>
      <c r="C36" s="92"/>
      <c r="D36" s="92"/>
      <c r="E36" s="92"/>
      <c r="F36" s="92"/>
      <c r="G36" s="92"/>
      <c r="H36" s="92"/>
      <c r="I36" s="92"/>
      <c r="J36" s="92"/>
      <c r="K36" s="92"/>
      <c r="L36" s="92"/>
      <c r="M36" s="92"/>
      <c r="N36" s="92"/>
      <c r="O36" s="92"/>
      <c r="P36" s="92"/>
      <c r="Q36" s="92"/>
      <c r="R36" s="92"/>
      <c r="S36" s="92"/>
      <c r="T36" s="9"/>
      <c r="U36" s="9"/>
      <c r="V36" s="9"/>
      <c r="W36" s="9"/>
      <c r="X36" s="15"/>
    </row>
    <row r="37" spans="1:24" ht="14.5" x14ac:dyDescent="0.35">
      <c r="A37" s="15"/>
      <c r="B37" s="92"/>
      <c r="C37" s="92"/>
      <c r="D37" s="92"/>
      <c r="E37" s="92"/>
      <c r="F37" s="92"/>
      <c r="G37" s="92"/>
      <c r="H37" s="92"/>
      <c r="I37" s="92"/>
      <c r="J37" s="92"/>
      <c r="K37" s="92"/>
      <c r="L37" s="92"/>
      <c r="M37" s="92"/>
      <c r="N37" s="92"/>
      <c r="O37" s="92"/>
      <c r="P37" s="92"/>
      <c r="Q37" s="92"/>
      <c r="R37" s="92"/>
      <c r="S37" s="92"/>
      <c r="T37" s="9"/>
      <c r="U37" s="9"/>
      <c r="V37" s="9"/>
      <c r="W37" s="9"/>
      <c r="X37" s="15"/>
    </row>
    <row r="38" spans="1:24" ht="14.5" x14ac:dyDescent="0.35">
      <c r="A38" s="15"/>
      <c r="B38" s="92"/>
      <c r="C38" s="92"/>
      <c r="D38" s="92"/>
      <c r="E38" s="92"/>
      <c r="F38" s="92"/>
      <c r="G38" s="92"/>
      <c r="H38" s="92"/>
      <c r="I38" s="92"/>
      <c r="J38" s="92"/>
      <c r="K38" s="92"/>
      <c r="L38" s="92"/>
      <c r="M38" s="92"/>
      <c r="N38" s="92"/>
      <c r="O38" s="92"/>
      <c r="P38" s="92"/>
      <c r="Q38" s="92"/>
      <c r="R38" s="92"/>
      <c r="S38" s="92"/>
      <c r="T38" s="9"/>
      <c r="U38" s="9"/>
      <c r="V38" s="9"/>
      <c r="W38" s="9"/>
      <c r="X38" s="15"/>
    </row>
    <row r="39" spans="1:24" ht="14.5" x14ac:dyDescent="0.35">
      <c r="A39" s="15"/>
      <c r="B39" s="92"/>
      <c r="C39" s="92"/>
      <c r="D39" s="92"/>
      <c r="E39" s="92"/>
      <c r="F39" s="92"/>
      <c r="G39" s="92"/>
      <c r="H39" s="92"/>
      <c r="I39" s="92"/>
      <c r="J39" s="92"/>
      <c r="K39" s="92"/>
      <c r="L39" s="92"/>
      <c r="M39" s="92"/>
      <c r="N39" s="92"/>
      <c r="O39" s="92"/>
      <c r="P39" s="92"/>
      <c r="Q39" s="92"/>
      <c r="R39" s="92"/>
      <c r="S39" s="92"/>
      <c r="T39" s="9"/>
      <c r="U39" s="9"/>
      <c r="V39" s="9"/>
      <c r="W39" s="9"/>
      <c r="X39" s="15"/>
    </row>
    <row r="40" spans="1:24" x14ac:dyDescent="0.3">
      <c r="A40" s="15"/>
      <c r="B40" s="9"/>
      <c r="C40" s="9"/>
      <c r="D40" s="9"/>
      <c r="E40" s="9"/>
      <c r="F40" s="9"/>
      <c r="G40" s="9"/>
      <c r="H40" s="9"/>
      <c r="I40" s="9"/>
      <c r="J40" s="9"/>
      <c r="K40" s="9"/>
      <c r="L40" s="9"/>
      <c r="M40" s="9"/>
      <c r="N40" s="9"/>
      <c r="O40" s="9"/>
      <c r="P40" s="9"/>
      <c r="Q40" s="9"/>
      <c r="R40" s="9"/>
      <c r="S40" s="9"/>
      <c r="T40" s="9"/>
      <c r="U40" s="9"/>
      <c r="V40" s="9"/>
      <c r="W40" s="9"/>
      <c r="X40" s="15"/>
    </row>
    <row r="41" spans="1:24" x14ac:dyDescent="0.3">
      <c r="A41" s="15"/>
      <c r="B41" s="9"/>
      <c r="C41" s="9"/>
      <c r="D41" s="9"/>
      <c r="E41" s="9"/>
      <c r="F41" s="9"/>
      <c r="G41" s="9"/>
      <c r="H41" s="9"/>
      <c r="I41" s="9"/>
      <c r="J41" s="9"/>
      <c r="K41" s="9"/>
      <c r="L41" s="9"/>
      <c r="M41" s="9"/>
      <c r="N41" s="9"/>
      <c r="O41" s="9"/>
      <c r="P41" s="9"/>
      <c r="Q41" s="9"/>
      <c r="R41" s="9"/>
      <c r="S41" s="9"/>
      <c r="T41" s="9"/>
      <c r="U41" s="9"/>
      <c r="V41" s="9"/>
      <c r="W41" s="9"/>
      <c r="X41" s="15"/>
    </row>
    <row r="42" spans="1:24" x14ac:dyDescent="0.3">
      <c r="A42" s="15"/>
      <c r="B42" s="9"/>
      <c r="C42" s="9"/>
      <c r="D42" s="9"/>
      <c r="E42" s="9"/>
      <c r="F42" s="9"/>
      <c r="G42" s="9"/>
      <c r="H42" s="9"/>
      <c r="I42" s="9"/>
      <c r="J42" s="9"/>
      <c r="K42" s="9"/>
      <c r="L42" s="9"/>
      <c r="M42" s="9"/>
      <c r="N42" s="9"/>
      <c r="O42" s="9"/>
      <c r="P42" s="9"/>
      <c r="Q42" s="9"/>
      <c r="R42" s="9"/>
      <c r="S42" s="9"/>
      <c r="T42" s="9"/>
      <c r="U42" s="9"/>
      <c r="V42" s="9"/>
      <c r="W42" s="9"/>
      <c r="X42" s="15"/>
    </row>
    <row r="43" spans="1:24" x14ac:dyDescent="0.3">
      <c r="A43" s="15"/>
      <c r="B43" s="9"/>
      <c r="C43" s="9"/>
      <c r="D43" s="9"/>
      <c r="E43" s="9"/>
      <c r="F43" s="9"/>
      <c r="G43" s="9"/>
      <c r="H43" s="9"/>
      <c r="I43" s="9"/>
      <c r="J43" s="9"/>
      <c r="K43" s="9"/>
      <c r="L43" s="9"/>
      <c r="M43" s="9"/>
      <c r="N43" s="9"/>
      <c r="O43" s="9"/>
      <c r="P43" s="9"/>
      <c r="Q43" s="9"/>
      <c r="R43" s="9"/>
      <c r="S43" s="9"/>
      <c r="T43" s="9"/>
      <c r="U43" s="9"/>
      <c r="V43" s="9"/>
      <c r="W43" s="9"/>
      <c r="X43" s="15"/>
    </row>
    <row r="44" spans="1:24" x14ac:dyDescent="0.3">
      <c r="A44" s="15"/>
      <c r="B44" s="9"/>
      <c r="C44" s="9"/>
      <c r="D44" s="9"/>
      <c r="E44" s="9"/>
      <c r="F44" s="9"/>
      <c r="G44" s="9"/>
      <c r="H44" s="9"/>
      <c r="I44" s="9"/>
      <c r="J44" s="9"/>
      <c r="K44" s="9"/>
      <c r="L44" s="9"/>
      <c r="M44" s="9"/>
      <c r="N44" s="9"/>
      <c r="O44" s="9"/>
      <c r="P44" s="9"/>
      <c r="Q44" s="9"/>
      <c r="R44" s="9"/>
      <c r="S44" s="9"/>
      <c r="T44" s="9"/>
      <c r="U44" s="9"/>
      <c r="V44" s="9"/>
      <c r="W44" s="9"/>
      <c r="X44" s="15"/>
    </row>
    <row r="45" spans="1:24" x14ac:dyDescent="0.3">
      <c r="A45" s="15"/>
      <c r="B45" s="9"/>
      <c r="C45" s="9"/>
      <c r="D45" s="9"/>
      <c r="E45" s="9"/>
      <c r="F45" s="9"/>
      <c r="G45" s="9"/>
      <c r="H45" s="9"/>
      <c r="I45" s="9"/>
      <c r="J45" s="9"/>
      <c r="K45" s="9"/>
      <c r="L45" s="9"/>
      <c r="M45" s="9"/>
      <c r="N45" s="9"/>
      <c r="O45" s="9"/>
      <c r="P45" s="9"/>
      <c r="Q45" s="9"/>
      <c r="R45" s="9"/>
      <c r="S45" s="9"/>
      <c r="T45" s="9"/>
      <c r="U45" s="9"/>
      <c r="V45" s="9"/>
      <c r="W45" s="9"/>
      <c r="X45" s="15"/>
    </row>
    <row r="46" spans="1:24" x14ac:dyDescent="0.3">
      <c r="A46" s="15"/>
      <c r="B46" s="9"/>
      <c r="C46" s="9"/>
      <c r="D46" s="9"/>
      <c r="E46" s="9"/>
      <c r="F46" s="9"/>
      <c r="G46" s="9"/>
      <c r="H46" s="9"/>
      <c r="I46" s="9"/>
      <c r="J46" s="9"/>
      <c r="K46" s="9"/>
      <c r="L46" s="9"/>
      <c r="M46" s="9"/>
      <c r="N46" s="9"/>
      <c r="O46" s="9"/>
      <c r="P46" s="9"/>
      <c r="Q46" s="9"/>
      <c r="R46" s="9"/>
      <c r="S46" s="9"/>
      <c r="T46" s="9"/>
      <c r="U46" s="9"/>
      <c r="V46" s="9"/>
      <c r="W46" s="9"/>
      <c r="X46" s="15"/>
    </row>
    <row r="47" spans="1:24" x14ac:dyDescent="0.3">
      <c r="A47" s="15"/>
      <c r="B47" s="9"/>
      <c r="C47" s="9"/>
      <c r="D47" s="9"/>
      <c r="E47" s="9"/>
      <c r="F47" s="9"/>
      <c r="G47" s="9"/>
      <c r="H47" s="9"/>
      <c r="I47" s="9"/>
      <c r="J47" s="9"/>
      <c r="K47" s="9"/>
      <c r="L47" s="9"/>
      <c r="M47" s="9"/>
      <c r="N47" s="9"/>
      <c r="O47" s="9"/>
      <c r="P47" s="9"/>
      <c r="Q47" s="9"/>
      <c r="R47" s="9"/>
      <c r="S47" s="9"/>
      <c r="T47" s="9"/>
      <c r="U47" s="9"/>
      <c r="V47" s="9"/>
      <c r="W47" s="9"/>
      <c r="X47" s="15"/>
    </row>
    <row r="48" spans="1:24" x14ac:dyDescent="0.3">
      <c r="A48" s="15"/>
      <c r="B48" s="9"/>
      <c r="C48" s="9"/>
      <c r="D48" s="9"/>
      <c r="E48" s="9"/>
      <c r="F48" s="9"/>
      <c r="G48" s="9"/>
      <c r="H48" s="9"/>
      <c r="I48" s="9"/>
      <c r="J48" s="9"/>
      <c r="K48" s="9"/>
      <c r="L48" s="9"/>
      <c r="M48" s="9"/>
      <c r="N48" s="9"/>
      <c r="O48" s="9"/>
      <c r="P48" s="9"/>
      <c r="Q48" s="9"/>
      <c r="R48" s="9"/>
      <c r="S48" s="9"/>
      <c r="T48" s="9"/>
      <c r="U48" s="9"/>
      <c r="V48" s="9"/>
      <c r="W48" s="9"/>
      <c r="X48" s="15"/>
    </row>
    <row r="49" spans="1:24" x14ac:dyDescent="0.3">
      <c r="A49" s="15"/>
      <c r="B49" s="9"/>
      <c r="C49" s="9"/>
      <c r="D49" s="9"/>
      <c r="E49" s="9"/>
      <c r="F49" s="9"/>
      <c r="G49" s="9"/>
      <c r="H49" s="9"/>
      <c r="I49" s="9"/>
      <c r="J49" s="9"/>
      <c r="K49" s="9"/>
      <c r="L49" s="9"/>
      <c r="M49" s="9"/>
      <c r="N49" s="9"/>
      <c r="O49" s="9"/>
      <c r="P49" s="9"/>
      <c r="Q49" s="9"/>
      <c r="R49" s="9"/>
      <c r="S49" s="9"/>
      <c r="T49" s="9"/>
      <c r="U49" s="9"/>
      <c r="V49" s="9"/>
      <c r="W49" s="9"/>
      <c r="X49" s="15"/>
    </row>
    <row r="50" spans="1:24" x14ac:dyDescent="0.3">
      <c r="A50" s="15"/>
      <c r="B50" s="9"/>
      <c r="C50" s="9"/>
      <c r="D50" s="9"/>
      <c r="E50" s="9"/>
      <c r="F50" s="9"/>
      <c r="G50" s="9"/>
      <c r="H50" s="9"/>
      <c r="I50" s="9"/>
      <c r="J50" s="9"/>
      <c r="K50" s="9"/>
      <c r="L50" s="9"/>
      <c r="M50" s="9"/>
      <c r="N50" s="9"/>
      <c r="O50" s="9"/>
      <c r="P50" s="9"/>
      <c r="Q50" s="9"/>
      <c r="R50" s="9"/>
      <c r="S50" s="9"/>
      <c r="T50" s="9"/>
      <c r="U50" s="9"/>
      <c r="V50" s="9"/>
      <c r="W50" s="9"/>
      <c r="X50" s="15"/>
    </row>
    <row r="51" spans="1:24" x14ac:dyDescent="0.3">
      <c r="A51" s="15"/>
      <c r="B51" s="9"/>
      <c r="C51" s="9"/>
      <c r="D51" s="9"/>
      <c r="E51" s="9"/>
      <c r="F51" s="9"/>
      <c r="G51" s="9"/>
      <c r="H51" s="9"/>
      <c r="I51" s="9"/>
      <c r="J51" s="9"/>
      <c r="K51" s="9"/>
      <c r="L51" s="9"/>
      <c r="M51" s="9"/>
      <c r="N51" s="9"/>
      <c r="O51" s="9"/>
      <c r="P51" s="9"/>
      <c r="Q51" s="9"/>
      <c r="R51" s="9"/>
      <c r="S51" s="9"/>
      <c r="T51" s="9"/>
      <c r="U51" s="9"/>
      <c r="V51" s="9"/>
      <c r="W51" s="9"/>
      <c r="X51" s="15"/>
    </row>
    <row r="52" spans="1:24" x14ac:dyDescent="0.3">
      <c r="A52" s="15"/>
      <c r="B52" s="9"/>
      <c r="C52" s="9"/>
      <c r="D52" s="9"/>
      <c r="E52" s="9"/>
      <c r="F52" s="9"/>
      <c r="G52" s="9"/>
      <c r="H52" s="9"/>
      <c r="I52" s="9"/>
      <c r="J52" s="9"/>
      <c r="K52" s="9"/>
      <c r="L52" s="9"/>
      <c r="M52" s="9"/>
      <c r="N52" s="9"/>
      <c r="O52" s="9"/>
      <c r="P52" s="9"/>
      <c r="Q52" s="9"/>
      <c r="R52" s="9"/>
      <c r="S52" s="9"/>
      <c r="T52" s="9"/>
      <c r="U52" s="9"/>
      <c r="V52" s="9"/>
      <c r="W52" s="9"/>
      <c r="X52" s="15"/>
    </row>
    <row r="53" spans="1:24" x14ac:dyDescent="0.3">
      <c r="A53" s="15"/>
      <c r="B53" s="9"/>
      <c r="C53" s="9"/>
      <c r="D53" s="9"/>
      <c r="E53" s="9"/>
      <c r="F53" s="9"/>
      <c r="G53" s="9"/>
      <c r="H53" s="9"/>
      <c r="I53" s="9"/>
      <c r="J53" s="9"/>
      <c r="K53" s="9"/>
      <c r="L53" s="9"/>
      <c r="M53" s="9"/>
      <c r="N53" s="9"/>
      <c r="O53" s="9"/>
      <c r="P53" s="9"/>
      <c r="Q53" s="9"/>
      <c r="R53" s="9"/>
      <c r="S53" s="9"/>
      <c r="T53" s="9"/>
      <c r="U53" s="9"/>
      <c r="V53" s="9"/>
      <c r="W53" s="9"/>
      <c r="X53" s="15"/>
    </row>
    <row r="54" spans="1:24" x14ac:dyDescent="0.3">
      <c r="A54" s="15"/>
      <c r="B54" s="9"/>
      <c r="C54" s="9"/>
      <c r="D54" s="9"/>
      <c r="E54" s="9"/>
      <c r="F54" s="9"/>
      <c r="G54" s="9"/>
      <c r="H54" s="9"/>
      <c r="I54" s="9"/>
      <c r="J54" s="9"/>
      <c r="K54" s="9"/>
      <c r="L54" s="9"/>
      <c r="M54" s="9"/>
      <c r="N54" s="9"/>
      <c r="O54" s="9"/>
      <c r="P54" s="9"/>
      <c r="Q54" s="9"/>
      <c r="R54" s="9"/>
      <c r="S54" s="9"/>
      <c r="T54" s="9"/>
      <c r="U54" s="9"/>
      <c r="V54" s="9"/>
      <c r="W54" s="9"/>
      <c r="X54" s="15"/>
    </row>
    <row r="55" spans="1:24" x14ac:dyDescent="0.3">
      <c r="A55" s="15"/>
      <c r="B55" s="9"/>
      <c r="C55" s="9"/>
      <c r="D55" s="9"/>
      <c r="E55" s="9"/>
      <c r="F55" s="9"/>
      <c r="G55" s="9"/>
      <c r="H55" s="9"/>
      <c r="I55" s="9"/>
      <c r="J55" s="9"/>
      <c r="K55" s="9"/>
      <c r="L55" s="9"/>
      <c r="M55" s="9"/>
      <c r="N55" s="9"/>
      <c r="O55" s="9"/>
      <c r="P55" s="9"/>
      <c r="Q55" s="9"/>
      <c r="R55" s="9"/>
      <c r="S55" s="9"/>
      <c r="T55" s="9"/>
      <c r="U55" s="9"/>
      <c r="V55" s="9"/>
      <c r="W55" s="9"/>
      <c r="X55" s="15"/>
    </row>
    <row r="56" spans="1:24" x14ac:dyDescent="0.3">
      <c r="A56" s="15"/>
      <c r="B56" s="9"/>
      <c r="C56" s="9"/>
      <c r="D56" s="9"/>
      <c r="E56" s="9"/>
      <c r="F56" s="9"/>
      <c r="G56" s="9"/>
      <c r="H56" s="9"/>
      <c r="I56" s="9"/>
      <c r="J56" s="9"/>
      <c r="K56" s="9"/>
      <c r="L56" s="9"/>
      <c r="M56" s="9"/>
      <c r="N56" s="9"/>
      <c r="O56" s="9"/>
      <c r="P56" s="9"/>
      <c r="Q56" s="9"/>
      <c r="R56" s="9"/>
      <c r="S56" s="9"/>
      <c r="T56" s="9"/>
      <c r="U56" s="9"/>
      <c r="V56" s="9"/>
      <c r="W56" s="9"/>
      <c r="X56" s="15"/>
    </row>
    <row r="57" spans="1:24" x14ac:dyDescent="0.3">
      <c r="A57" s="15"/>
      <c r="B57" s="9"/>
      <c r="C57" s="9"/>
      <c r="D57" s="9"/>
      <c r="E57" s="9"/>
      <c r="F57" s="9"/>
      <c r="G57" s="9"/>
      <c r="H57" s="9"/>
      <c r="I57" s="9"/>
      <c r="J57" s="9"/>
      <c r="K57" s="9"/>
      <c r="L57" s="9"/>
      <c r="M57" s="9"/>
      <c r="N57" s="9"/>
      <c r="O57" s="9"/>
      <c r="P57" s="9"/>
      <c r="Q57" s="9"/>
      <c r="R57" s="9"/>
      <c r="S57" s="9"/>
      <c r="T57" s="9"/>
      <c r="U57" s="9"/>
      <c r="V57" s="9"/>
      <c r="W57" s="9"/>
      <c r="X57" s="15"/>
    </row>
    <row r="58" spans="1:24" x14ac:dyDescent="0.3">
      <c r="A58" s="15"/>
      <c r="B58" s="9"/>
      <c r="C58" s="9"/>
      <c r="D58" s="9"/>
      <c r="E58" s="9"/>
      <c r="F58" s="9"/>
      <c r="G58" s="9"/>
      <c r="H58" s="9"/>
      <c r="I58" s="9"/>
      <c r="J58" s="9"/>
      <c r="K58" s="9"/>
      <c r="L58" s="9"/>
      <c r="M58" s="9"/>
      <c r="N58" s="9"/>
      <c r="O58" s="9"/>
      <c r="P58" s="9"/>
      <c r="Q58" s="9"/>
      <c r="R58" s="9"/>
      <c r="S58" s="9"/>
      <c r="T58" s="9"/>
      <c r="U58" s="9"/>
      <c r="V58" s="9"/>
      <c r="W58" s="9"/>
      <c r="X58" s="15"/>
    </row>
    <row r="59" spans="1:24" x14ac:dyDescent="0.3">
      <c r="A59" s="15"/>
      <c r="B59" s="9"/>
      <c r="C59" s="9"/>
      <c r="D59" s="9"/>
      <c r="E59" s="9"/>
      <c r="F59" s="9"/>
      <c r="G59" s="9"/>
      <c r="H59" s="9"/>
      <c r="I59" s="9"/>
      <c r="J59" s="9"/>
      <c r="K59" s="9"/>
      <c r="L59" s="9"/>
      <c r="M59" s="9"/>
      <c r="N59" s="9"/>
      <c r="O59" s="9"/>
      <c r="P59" s="9"/>
      <c r="Q59" s="9"/>
      <c r="R59" s="9"/>
      <c r="S59" s="9"/>
      <c r="T59" s="9"/>
      <c r="U59" s="9"/>
      <c r="V59" s="9"/>
      <c r="W59" s="9"/>
      <c r="X59" s="15"/>
    </row>
    <row r="60" spans="1:24" x14ac:dyDescent="0.3">
      <c r="A60" s="15"/>
      <c r="B60" s="9"/>
      <c r="C60" s="9"/>
      <c r="D60" s="9"/>
      <c r="E60" s="9"/>
      <c r="F60" s="9"/>
      <c r="G60" s="9"/>
      <c r="H60" s="9"/>
      <c r="I60" s="9"/>
      <c r="J60" s="9"/>
      <c r="K60" s="9"/>
      <c r="L60" s="9"/>
      <c r="M60" s="9"/>
      <c r="N60" s="9"/>
      <c r="O60" s="9"/>
      <c r="P60" s="9"/>
      <c r="Q60" s="9"/>
      <c r="R60" s="9"/>
      <c r="S60" s="9"/>
      <c r="T60" s="9"/>
      <c r="U60" s="9"/>
      <c r="V60" s="9"/>
      <c r="W60" s="9"/>
      <c r="X60" s="15"/>
    </row>
    <row r="61" spans="1:24" x14ac:dyDescent="0.3">
      <c r="A61" s="15"/>
      <c r="B61" s="9"/>
      <c r="C61" s="9"/>
      <c r="D61" s="9"/>
      <c r="E61" s="9"/>
      <c r="F61" s="9"/>
      <c r="G61" s="9"/>
      <c r="H61" s="9"/>
      <c r="I61" s="9"/>
      <c r="J61" s="9"/>
      <c r="K61" s="9"/>
      <c r="L61" s="9"/>
      <c r="M61" s="9"/>
      <c r="N61" s="9"/>
      <c r="O61" s="9"/>
      <c r="P61" s="9"/>
      <c r="Q61" s="9"/>
      <c r="R61" s="9"/>
      <c r="S61" s="9"/>
      <c r="T61" s="9"/>
      <c r="U61" s="9"/>
      <c r="V61" s="9"/>
      <c r="W61" s="9"/>
      <c r="X61" s="15"/>
    </row>
    <row r="62" spans="1:24" x14ac:dyDescent="0.3">
      <c r="A62" s="15"/>
      <c r="B62" s="9"/>
      <c r="C62" s="9"/>
      <c r="D62" s="9"/>
      <c r="E62" s="9"/>
      <c r="F62" s="9"/>
      <c r="G62" s="9"/>
      <c r="H62" s="9"/>
      <c r="I62" s="9"/>
      <c r="J62" s="9"/>
      <c r="K62" s="9"/>
      <c r="L62" s="9"/>
      <c r="M62" s="9"/>
      <c r="N62" s="9"/>
      <c r="O62" s="9"/>
      <c r="P62" s="9"/>
      <c r="Q62" s="9"/>
      <c r="R62" s="9"/>
      <c r="S62" s="9"/>
      <c r="T62" s="9"/>
      <c r="U62" s="9"/>
      <c r="V62" s="9"/>
      <c r="W62" s="9"/>
      <c r="X62" s="15"/>
    </row>
    <row r="63" spans="1:24" x14ac:dyDescent="0.3">
      <c r="A63" s="15"/>
      <c r="B63" s="9"/>
      <c r="C63" s="9"/>
      <c r="D63" s="9"/>
      <c r="E63" s="9"/>
      <c r="F63" s="9"/>
      <c r="G63" s="9"/>
      <c r="H63" s="9"/>
      <c r="I63" s="9"/>
      <c r="J63" s="9"/>
      <c r="K63" s="9"/>
      <c r="L63" s="9"/>
      <c r="M63" s="9"/>
      <c r="N63" s="9"/>
      <c r="O63" s="9"/>
      <c r="P63" s="9"/>
      <c r="Q63" s="9"/>
      <c r="R63" s="9"/>
      <c r="S63" s="9"/>
      <c r="T63" s="9"/>
      <c r="U63" s="9"/>
      <c r="V63" s="9"/>
      <c r="W63" s="9"/>
      <c r="X63" s="15"/>
    </row>
    <row r="64" spans="1:24" x14ac:dyDescent="0.3">
      <c r="A64" s="15"/>
      <c r="B64" s="9"/>
      <c r="C64" s="9"/>
      <c r="D64" s="9"/>
      <c r="E64" s="9"/>
      <c r="F64" s="9"/>
      <c r="G64" s="9"/>
      <c r="H64" s="9"/>
      <c r="I64" s="9"/>
      <c r="J64" s="9"/>
      <c r="K64" s="9"/>
      <c r="L64" s="9"/>
      <c r="M64" s="9"/>
      <c r="N64" s="9"/>
      <c r="O64" s="9"/>
      <c r="P64" s="9"/>
      <c r="Q64" s="9"/>
      <c r="R64" s="9"/>
      <c r="S64" s="9"/>
      <c r="T64" s="9"/>
      <c r="U64" s="9"/>
      <c r="V64" s="9"/>
      <c r="W64" s="9"/>
      <c r="X64" s="15"/>
    </row>
    <row r="65" spans="1:24" x14ac:dyDescent="0.3">
      <c r="A65" s="15"/>
      <c r="B65" s="9"/>
      <c r="C65" s="9"/>
      <c r="D65" s="9"/>
      <c r="E65" s="9"/>
      <c r="F65" s="9"/>
      <c r="G65" s="9"/>
      <c r="H65" s="9"/>
      <c r="I65" s="9"/>
      <c r="J65" s="9"/>
      <c r="K65" s="9"/>
      <c r="L65" s="9"/>
      <c r="M65" s="9"/>
      <c r="N65" s="9"/>
      <c r="O65" s="9"/>
      <c r="P65" s="9"/>
      <c r="Q65" s="9"/>
      <c r="R65" s="9"/>
      <c r="S65" s="9"/>
      <c r="T65" s="9"/>
      <c r="U65" s="9"/>
      <c r="V65" s="9"/>
      <c r="W65" s="9"/>
      <c r="X65" s="15"/>
    </row>
    <row r="66" spans="1:24" x14ac:dyDescent="0.3">
      <c r="A66" s="15"/>
      <c r="B66" s="9"/>
      <c r="C66" s="9"/>
      <c r="D66" s="9"/>
      <c r="E66" s="9"/>
      <c r="F66" s="9"/>
      <c r="G66" s="9"/>
      <c r="H66" s="9"/>
      <c r="I66" s="9"/>
      <c r="J66" s="9"/>
      <c r="K66" s="9"/>
      <c r="L66" s="9"/>
      <c r="M66" s="9"/>
      <c r="N66" s="9"/>
      <c r="O66" s="9"/>
      <c r="P66" s="9"/>
      <c r="Q66" s="9"/>
      <c r="R66" s="9"/>
      <c r="S66" s="9"/>
      <c r="T66" s="9"/>
      <c r="U66" s="9"/>
      <c r="V66" s="9"/>
      <c r="W66" s="9"/>
      <c r="X66" s="15"/>
    </row>
    <row r="67" spans="1:24" x14ac:dyDescent="0.3">
      <c r="A67" s="15"/>
      <c r="B67" s="9"/>
      <c r="C67" s="9"/>
      <c r="D67" s="9"/>
      <c r="E67" s="9"/>
      <c r="F67" s="9"/>
      <c r="G67" s="9"/>
      <c r="H67" s="9"/>
      <c r="I67" s="9"/>
      <c r="J67" s="9"/>
      <c r="K67" s="9"/>
      <c r="L67" s="9"/>
      <c r="M67" s="9"/>
      <c r="N67" s="9"/>
      <c r="O67" s="9"/>
      <c r="P67" s="9"/>
      <c r="Q67" s="9"/>
      <c r="R67" s="9"/>
      <c r="S67" s="9"/>
      <c r="T67" s="9"/>
      <c r="U67" s="9"/>
      <c r="V67" s="9"/>
      <c r="W67" s="9"/>
      <c r="X67" s="15"/>
    </row>
    <row r="68" spans="1:24" x14ac:dyDescent="0.3">
      <c r="A68" s="15"/>
      <c r="B68" s="9"/>
      <c r="C68" s="9"/>
      <c r="D68" s="9"/>
      <c r="E68" s="9"/>
      <c r="F68" s="9"/>
      <c r="G68" s="9"/>
      <c r="H68" s="9"/>
      <c r="I68" s="9"/>
      <c r="J68" s="9"/>
      <c r="K68" s="9"/>
      <c r="L68" s="9"/>
      <c r="M68" s="9"/>
      <c r="N68" s="9"/>
      <c r="O68" s="9"/>
      <c r="P68" s="9"/>
      <c r="Q68" s="9"/>
      <c r="R68" s="9"/>
      <c r="S68" s="9"/>
      <c r="T68" s="9"/>
      <c r="U68" s="9"/>
      <c r="V68" s="9"/>
      <c r="W68" s="9"/>
      <c r="X68" s="15"/>
    </row>
  </sheetData>
  <mergeCells count="5">
    <mergeCell ref="B13:O13"/>
    <mergeCell ref="B14:O14"/>
    <mergeCell ref="B9:O9"/>
    <mergeCell ref="B11:O11"/>
    <mergeCell ref="B12:O12"/>
  </mergeCells>
  <printOptions gridLines="1"/>
  <pageMargins left="0" right="0" top="0" bottom="0" header="0.3" footer="0.3"/>
  <pageSetup scale="4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7598-0489-4402-BD71-1B083649EF11}">
  <sheetPr>
    <tabColor rgb="FFFFFF00"/>
  </sheetPr>
  <dimension ref="A1:DK279"/>
  <sheetViews>
    <sheetView workbookViewId="0">
      <selection activeCell="G5" sqref="G5"/>
    </sheetView>
  </sheetViews>
  <sheetFormatPr defaultColWidth="9.08984375" defaultRowHeight="14.5" x14ac:dyDescent="0.35"/>
  <cols>
    <col min="1" max="1" width="9.08984375" style="171"/>
    <col min="2" max="2" width="24" style="171" customWidth="1"/>
    <col min="3" max="4" width="9.08984375" style="171"/>
    <col min="5" max="5" width="55.453125" style="171" customWidth="1"/>
    <col min="6" max="6" width="13.6328125" style="171" customWidth="1"/>
    <col min="7" max="9" width="9.08984375" style="171" customWidth="1"/>
    <col min="10" max="10" width="21.54296875" style="171" customWidth="1"/>
    <col min="11" max="11" width="19.453125" style="171" customWidth="1"/>
    <col min="12" max="12" width="39.90625" style="171" customWidth="1"/>
    <col min="13" max="67" width="9.08984375" style="171" customWidth="1"/>
    <col min="68" max="69" width="6.453125" style="171" customWidth="1"/>
    <col min="70" max="107" width="9.08984375" style="171" customWidth="1"/>
    <col min="108" max="108" width="11.54296875" style="171" customWidth="1"/>
    <col min="109" max="109" width="9.08984375" style="171" customWidth="1"/>
    <col min="110" max="110" width="31" style="171" customWidth="1"/>
    <col min="111" max="114" width="9.08984375" style="171" customWidth="1"/>
    <col min="115" max="115" width="8.6328125" customWidth="1"/>
    <col min="116" max="16384" width="9.08984375" style="171"/>
  </cols>
  <sheetData>
    <row r="1" spans="1:115" x14ac:dyDescent="0.35">
      <c r="B1" s="171">
        <v>1</v>
      </c>
      <c r="C1" s="171">
        <v>2</v>
      </c>
      <c r="D1" s="171">
        <v>3</v>
      </c>
      <c r="E1" s="171">
        <v>4</v>
      </c>
      <c r="F1" s="171">
        <v>5</v>
      </c>
      <c r="G1" s="171">
        <v>6</v>
      </c>
      <c r="H1" s="171">
        <v>7</v>
      </c>
      <c r="I1" s="171">
        <v>8</v>
      </c>
      <c r="J1" s="171">
        <v>9</v>
      </c>
      <c r="K1" s="171">
        <v>10</v>
      </c>
      <c r="L1" s="171">
        <v>11</v>
      </c>
      <c r="M1" s="171">
        <v>12</v>
      </c>
      <c r="N1" s="171">
        <v>13</v>
      </c>
      <c r="O1" s="171">
        <v>14</v>
      </c>
      <c r="P1" s="171">
        <v>15</v>
      </c>
      <c r="Q1" s="171">
        <v>16</v>
      </c>
      <c r="R1" s="171">
        <v>17</v>
      </c>
      <c r="S1" s="171">
        <v>18</v>
      </c>
      <c r="T1" s="171">
        <v>19</v>
      </c>
      <c r="U1" s="171">
        <v>20</v>
      </c>
      <c r="V1" s="171">
        <v>21</v>
      </c>
      <c r="W1" s="171">
        <v>22</v>
      </c>
      <c r="X1" s="171">
        <v>23</v>
      </c>
      <c r="Y1" s="171">
        <v>24</v>
      </c>
      <c r="Z1" s="171">
        <v>25</v>
      </c>
      <c r="AA1" s="171">
        <v>26</v>
      </c>
      <c r="AB1" s="171">
        <v>27</v>
      </c>
      <c r="AC1" s="171">
        <v>28</v>
      </c>
      <c r="AD1" s="171">
        <v>29</v>
      </c>
      <c r="AE1" s="171">
        <v>30</v>
      </c>
      <c r="AF1" s="171">
        <v>31</v>
      </c>
      <c r="AG1" s="171">
        <v>32</v>
      </c>
      <c r="AH1" s="171">
        <v>33</v>
      </c>
      <c r="AI1" s="171">
        <v>34</v>
      </c>
      <c r="AJ1" s="171">
        <v>35</v>
      </c>
      <c r="AK1" s="171">
        <v>36</v>
      </c>
      <c r="AL1" s="171">
        <v>37</v>
      </c>
      <c r="AM1" s="171">
        <v>38</v>
      </c>
      <c r="AN1" s="171">
        <v>39</v>
      </c>
      <c r="AO1" s="171">
        <v>40</v>
      </c>
      <c r="AP1" s="171">
        <v>41</v>
      </c>
      <c r="AQ1" s="171">
        <v>42</v>
      </c>
      <c r="AR1" s="171">
        <v>43</v>
      </c>
      <c r="AS1" s="171">
        <v>44</v>
      </c>
      <c r="AT1" s="171">
        <v>45</v>
      </c>
      <c r="AU1" s="171">
        <v>46</v>
      </c>
      <c r="AV1" s="171">
        <v>47</v>
      </c>
      <c r="AW1" s="171">
        <v>48</v>
      </c>
      <c r="AX1" s="171">
        <v>49</v>
      </c>
      <c r="AY1" s="171">
        <v>50</v>
      </c>
      <c r="AZ1" s="172">
        <v>51</v>
      </c>
      <c r="BA1" s="172">
        <v>52</v>
      </c>
      <c r="BB1" s="172">
        <v>53</v>
      </c>
      <c r="BC1" s="172">
        <v>54</v>
      </c>
      <c r="BD1" s="172">
        <v>55</v>
      </c>
      <c r="BE1" s="172">
        <v>56</v>
      </c>
      <c r="BF1" s="172">
        <v>57</v>
      </c>
      <c r="BG1" s="172">
        <v>58</v>
      </c>
      <c r="BH1" s="172">
        <v>59</v>
      </c>
      <c r="BI1" s="172">
        <v>60</v>
      </c>
      <c r="BJ1" s="172">
        <v>61</v>
      </c>
      <c r="BK1" s="172">
        <v>62</v>
      </c>
      <c r="BL1" s="171">
        <v>63</v>
      </c>
      <c r="BM1" s="171">
        <v>64</v>
      </c>
      <c r="BN1" s="171">
        <v>65</v>
      </c>
      <c r="BO1" s="171">
        <v>66</v>
      </c>
      <c r="BP1" s="171">
        <v>67</v>
      </c>
      <c r="BQ1" s="171">
        <v>68</v>
      </c>
      <c r="BR1" s="171">
        <v>69</v>
      </c>
      <c r="BS1" s="171">
        <v>70</v>
      </c>
      <c r="BT1" s="171">
        <v>71</v>
      </c>
      <c r="BU1" s="171">
        <v>72</v>
      </c>
      <c r="BV1" s="171">
        <v>73</v>
      </c>
      <c r="BW1" s="171">
        <v>74</v>
      </c>
      <c r="BX1" s="171">
        <v>75</v>
      </c>
      <c r="BY1" s="171">
        <v>76</v>
      </c>
      <c r="BZ1" s="171">
        <v>77</v>
      </c>
      <c r="CA1" s="171">
        <v>78</v>
      </c>
      <c r="CB1" s="171">
        <v>79</v>
      </c>
      <c r="CC1" s="171">
        <v>80</v>
      </c>
      <c r="CD1" s="171">
        <v>81</v>
      </c>
      <c r="CE1" s="171">
        <v>82</v>
      </c>
      <c r="CF1" s="171">
        <v>83</v>
      </c>
      <c r="CG1" s="171">
        <v>84</v>
      </c>
      <c r="CH1" s="171">
        <v>85</v>
      </c>
      <c r="CI1" s="171">
        <v>86</v>
      </c>
      <c r="CJ1" s="171">
        <v>87</v>
      </c>
      <c r="CK1" s="171">
        <v>88</v>
      </c>
      <c r="CL1" s="171">
        <v>89</v>
      </c>
      <c r="CM1" s="171">
        <v>90</v>
      </c>
      <c r="CN1" s="171">
        <v>91</v>
      </c>
      <c r="CO1" s="171">
        <v>92</v>
      </c>
      <c r="CP1" s="171">
        <v>93</v>
      </c>
      <c r="CQ1" s="171">
        <v>94</v>
      </c>
      <c r="CR1" s="171">
        <v>95</v>
      </c>
      <c r="CS1" s="171">
        <v>96</v>
      </c>
      <c r="CT1" s="171">
        <v>97</v>
      </c>
      <c r="CU1" s="171">
        <v>98</v>
      </c>
      <c r="CV1" s="171">
        <v>99</v>
      </c>
      <c r="CW1" s="171">
        <v>100</v>
      </c>
      <c r="CX1" s="171">
        <v>101</v>
      </c>
      <c r="CY1" s="171">
        <v>102</v>
      </c>
      <c r="CZ1" s="171">
        <v>103</v>
      </c>
      <c r="DA1" s="171">
        <v>104</v>
      </c>
      <c r="DB1" s="171">
        <v>105</v>
      </c>
      <c r="DC1" s="171">
        <v>106</v>
      </c>
      <c r="DD1" s="171">
        <v>107</v>
      </c>
      <c r="DE1" s="171">
        <v>108</v>
      </c>
      <c r="DF1" s="171">
        <v>109</v>
      </c>
      <c r="DG1" s="171">
        <v>110</v>
      </c>
      <c r="DH1" s="171">
        <v>111</v>
      </c>
      <c r="DI1" s="171">
        <v>112</v>
      </c>
      <c r="DJ1" s="171">
        <v>113</v>
      </c>
    </row>
    <row r="2" spans="1:115" s="174" customFormat="1" ht="106.5" customHeight="1" x14ac:dyDescent="0.35">
      <c r="A2" s="174" t="s">
        <v>286</v>
      </c>
      <c r="B2" s="173" t="str">
        <f>E2&amp;F2</f>
        <v>indexnameDate_x</v>
      </c>
      <c r="D2" s="174" t="s">
        <v>287</v>
      </c>
      <c r="E2" s="174" t="s">
        <v>288</v>
      </c>
      <c r="F2" s="174" t="s">
        <v>289</v>
      </c>
      <c r="G2" s="175" t="s">
        <v>290</v>
      </c>
      <c r="H2" s="175" t="s">
        <v>291</v>
      </c>
      <c r="I2" s="175" t="s">
        <v>292</v>
      </c>
      <c r="J2" s="175" t="s">
        <v>293</v>
      </c>
      <c r="K2" s="175" t="s">
        <v>294</v>
      </c>
      <c r="L2" s="175" t="s">
        <v>295</v>
      </c>
      <c r="M2" s="175" t="s">
        <v>296</v>
      </c>
      <c r="N2" s="175" t="s">
        <v>297</v>
      </c>
      <c r="O2" s="175" t="s">
        <v>298</v>
      </c>
      <c r="P2" s="175" t="s">
        <v>299</v>
      </c>
      <c r="Q2" s="175" t="s">
        <v>300</v>
      </c>
      <c r="R2" s="175" t="s">
        <v>301</v>
      </c>
      <c r="S2" s="175" t="s">
        <v>302</v>
      </c>
      <c r="T2" s="185" t="s">
        <v>303</v>
      </c>
      <c r="U2" s="185" t="s">
        <v>304</v>
      </c>
      <c r="V2" s="175" t="s">
        <v>305</v>
      </c>
      <c r="W2" s="185" t="s">
        <v>306</v>
      </c>
      <c r="X2" s="185" t="s">
        <v>307</v>
      </c>
      <c r="Y2" s="186" t="s">
        <v>308</v>
      </c>
      <c r="Z2" s="186" t="s">
        <v>309</v>
      </c>
      <c r="AA2" s="186" t="s">
        <v>310</v>
      </c>
      <c r="AB2" s="186" t="s">
        <v>311</v>
      </c>
      <c r="AC2" s="186" t="s">
        <v>312</v>
      </c>
      <c r="AD2" s="186" t="s">
        <v>313</v>
      </c>
      <c r="AE2" s="215" t="s">
        <v>314</v>
      </c>
      <c r="AF2" s="215" t="s">
        <v>315</v>
      </c>
      <c r="AG2" s="215" t="s">
        <v>316</v>
      </c>
      <c r="AH2" s="215" t="s">
        <v>317</v>
      </c>
      <c r="AI2" s="215" t="s">
        <v>318</v>
      </c>
      <c r="AJ2" s="215" t="s">
        <v>319</v>
      </c>
      <c r="AK2" s="186" t="s">
        <v>320</v>
      </c>
      <c r="AL2" s="186" t="s">
        <v>321</v>
      </c>
      <c r="AM2" s="186" t="s">
        <v>322</v>
      </c>
      <c r="AN2" s="186" t="s">
        <v>323</v>
      </c>
      <c r="AO2" s="186" t="s">
        <v>324</v>
      </c>
      <c r="AP2" s="186" t="s">
        <v>325</v>
      </c>
      <c r="AQ2" s="186" t="s">
        <v>326</v>
      </c>
      <c r="AR2" s="186" t="s">
        <v>327</v>
      </c>
      <c r="AS2" s="186" t="s">
        <v>328</v>
      </c>
      <c r="AT2" s="185" t="s">
        <v>329</v>
      </c>
      <c r="AU2" s="185" t="s">
        <v>330</v>
      </c>
      <c r="AV2" s="185" t="s">
        <v>331</v>
      </c>
      <c r="AW2" s="185" t="s">
        <v>332</v>
      </c>
      <c r="AX2" s="185" t="s">
        <v>333</v>
      </c>
      <c r="AY2" s="185" t="s">
        <v>334</v>
      </c>
      <c r="AZ2" s="186" t="s">
        <v>335</v>
      </c>
      <c r="BA2" s="186" t="s">
        <v>336</v>
      </c>
      <c r="BB2" s="186" t="s">
        <v>337</v>
      </c>
      <c r="BC2" s="186" t="s">
        <v>338</v>
      </c>
      <c r="BD2" s="186" t="s">
        <v>339</v>
      </c>
      <c r="BE2" s="186" t="s">
        <v>340</v>
      </c>
      <c r="BF2" s="186" t="s">
        <v>341</v>
      </c>
      <c r="BG2" s="186" t="s">
        <v>342</v>
      </c>
      <c r="BH2" s="186" t="s">
        <v>343</v>
      </c>
      <c r="BI2" s="186" t="s">
        <v>344</v>
      </c>
      <c r="BJ2" s="186" t="s">
        <v>345</v>
      </c>
      <c r="BK2" s="186" t="s">
        <v>346</v>
      </c>
      <c r="BL2" s="175" t="s">
        <v>347</v>
      </c>
      <c r="BM2" s="175" t="s">
        <v>348</v>
      </c>
      <c r="BN2" s="175" t="s">
        <v>349</v>
      </c>
      <c r="BO2" s="175" t="s">
        <v>350</v>
      </c>
      <c r="BP2" s="175" t="s">
        <v>351</v>
      </c>
      <c r="BQ2" s="175" t="s">
        <v>352</v>
      </c>
      <c r="BR2" s="175" t="s">
        <v>353</v>
      </c>
      <c r="BS2" s="175" t="s">
        <v>354</v>
      </c>
      <c r="BT2" s="175" t="s">
        <v>355</v>
      </c>
      <c r="BU2" s="175" t="s">
        <v>356</v>
      </c>
      <c r="BV2" s="175" t="s">
        <v>357</v>
      </c>
      <c r="BW2" s="175" t="s">
        <v>358</v>
      </c>
      <c r="BX2" s="175" t="s">
        <v>359</v>
      </c>
      <c r="BY2" s="175" t="s">
        <v>360</v>
      </c>
      <c r="BZ2" s="175" t="s">
        <v>361</v>
      </c>
      <c r="CA2" s="175" t="s">
        <v>362</v>
      </c>
      <c r="CB2" s="175" t="s">
        <v>363</v>
      </c>
      <c r="CC2" s="185" t="s">
        <v>364</v>
      </c>
      <c r="CD2" s="185" t="s">
        <v>365</v>
      </c>
      <c r="CE2" s="216" t="s">
        <v>366</v>
      </c>
      <c r="CF2" s="216" t="s">
        <v>367</v>
      </c>
      <c r="CG2" s="216" t="s">
        <v>368</v>
      </c>
      <c r="CH2" s="186" t="s">
        <v>369</v>
      </c>
      <c r="CI2" s="186" t="s">
        <v>370</v>
      </c>
      <c r="CJ2" s="186" t="s">
        <v>371</v>
      </c>
      <c r="CK2" s="186" t="s">
        <v>372</v>
      </c>
      <c r="CL2" s="186" t="s">
        <v>373</v>
      </c>
      <c r="CM2" s="186" t="s">
        <v>374</v>
      </c>
      <c r="CN2" s="216" t="s">
        <v>375</v>
      </c>
      <c r="CO2" s="216" t="s">
        <v>376</v>
      </c>
      <c r="CP2" s="216" t="s">
        <v>377</v>
      </c>
      <c r="CQ2" s="216" t="s">
        <v>378</v>
      </c>
      <c r="CR2" s="216" t="s">
        <v>379</v>
      </c>
      <c r="CS2" s="216" t="s">
        <v>380</v>
      </c>
      <c r="CT2" s="216" t="s">
        <v>381</v>
      </c>
      <c r="CU2" s="216" t="s">
        <v>382</v>
      </c>
      <c r="CV2" s="216" t="s">
        <v>383</v>
      </c>
      <c r="CW2" s="209" t="s">
        <v>384</v>
      </c>
      <c r="CX2" s="209" t="s">
        <v>385</v>
      </c>
      <c r="CY2" s="209" t="s">
        <v>386</v>
      </c>
      <c r="CZ2" s="185" t="s">
        <v>387</v>
      </c>
      <c r="DA2" s="185" t="s">
        <v>388</v>
      </c>
      <c r="DB2" s="185" t="s">
        <v>389</v>
      </c>
      <c r="DC2" s="186" t="s">
        <v>390</v>
      </c>
      <c r="DD2" s="186" t="s">
        <v>391</v>
      </c>
      <c r="DE2" s="186" t="s">
        <v>392</v>
      </c>
      <c r="DF2" s="174" t="s">
        <v>393</v>
      </c>
      <c r="DG2" s="174" t="s">
        <v>394</v>
      </c>
      <c r="DK2"/>
    </row>
    <row r="3" spans="1:115" s="174" customFormat="1" ht="83.25" customHeight="1" x14ac:dyDescent="0.35">
      <c r="A3" s="174" t="s">
        <v>395</v>
      </c>
      <c r="B3" s="171"/>
      <c r="C3" s="31"/>
      <c r="D3" s="31" t="s">
        <v>287</v>
      </c>
      <c r="E3" s="31" t="s">
        <v>288</v>
      </c>
      <c r="F3" s="31" t="s">
        <v>289</v>
      </c>
      <c r="G3" s="31" t="s">
        <v>290</v>
      </c>
      <c r="H3" s="31" t="s">
        <v>291</v>
      </c>
      <c r="I3" s="31" t="s">
        <v>292</v>
      </c>
      <c r="J3" s="31" t="s">
        <v>293</v>
      </c>
      <c r="K3" s="31" t="s">
        <v>294</v>
      </c>
      <c r="L3" s="31" t="s">
        <v>295</v>
      </c>
      <c r="M3" s="31" t="s">
        <v>396</v>
      </c>
      <c r="N3" s="31" t="s">
        <v>297</v>
      </c>
      <c r="O3" s="31" t="s">
        <v>298</v>
      </c>
      <c r="P3" s="31" t="s">
        <v>397</v>
      </c>
      <c r="Q3" s="31" t="s">
        <v>300</v>
      </c>
      <c r="R3" s="31" t="s">
        <v>301</v>
      </c>
      <c r="S3" s="31" t="s">
        <v>398</v>
      </c>
      <c r="T3" s="31" t="s">
        <v>303</v>
      </c>
      <c r="U3" s="31" t="s">
        <v>304</v>
      </c>
      <c r="V3" s="31" t="s">
        <v>399</v>
      </c>
      <c r="W3" s="31" t="s">
        <v>306</v>
      </c>
      <c r="X3" s="31" t="s">
        <v>307</v>
      </c>
      <c r="Y3" s="230" t="s">
        <v>400</v>
      </c>
      <c r="Z3" s="31" t="s">
        <v>401</v>
      </c>
      <c r="AA3" s="31" t="s">
        <v>402</v>
      </c>
      <c r="AB3" s="230" t="s">
        <v>403</v>
      </c>
      <c r="AC3" s="31" t="s">
        <v>404</v>
      </c>
      <c r="AD3" s="31" t="s">
        <v>405</v>
      </c>
      <c r="AE3" s="31" t="s">
        <v>406</v>
      </c>
      <c r="AF3" s="31" t="s">
        <v>315</v>
      </c>
      <c r="AG3" s="31" t="s">
        <v>316</v>
      </c>
      <c r="AH3" s="31" t="s">
        <v>407</v>
      </c>
      <c r="AI3" s="31" t="s">
        <v>408</v>
      </c>
      <c r="AJ3" s="31" t="s">
        <v>409</v>
      </c>
      <c r="AK3" s="31" t="s">
        <v>410</v>
      </c>
      <c r="AL3" s="31" t="s">
        <v>321</v>
      </c>
      <c r="AM3" s="31" t="s">
        <v>322</v>
      </c>
      <c r="AN3" s="31" t="s">
        <v>411</v>
      </c>
      <c r="AO3" s="31" t="s">
        <v>324</v>
      </c>
      <c r="AP3" s="31" t="s">
        <v>325</v>
      </c>
      <c r="AQ3" s="31" t="s">
        <v>326</v>
      </c>
      <c r="AR3" s="31" t="s">
        <v>327</v>
      </c>
      <c r="AS3" s="31" t="s">
        <v>328</v>
      </c>
      <c r="AT3" s="171"/>
      <c r="AU3" s="171"/>
      <c r="AV3" s="171"/>
      <c r="AW3" s="171"/>
      <c r="AX3" s="171"/>
      <c r="AY3" s="171"/>
      <c r="AZ3" s="171"/>
      <c r="BA3" s="171"/>
      <c r="BB3" s="171"/>
      <c r="BC3" s="171"/>
      <c r="BD3" s="171"/>
      <c r="BE3" s="171"/>
      <c r="BF3" s="171"/>
      <c r="BG3" s="171"/>
      <c r="BH3" s="171"/>
      <c r="BI3" s="171"/>
      <c r="BJ3" s="171"/>
      <c r="BK3" s="171"/>
      <c r="BL3" s="31" t="s">
        <v>347</v>
      </c>
      <c r="BM3" s="31" t="s">
        <v>348</v>
      </c>
      <c r="BN3" s="31" t="s">
        <v>349</v>
      </c>
      <c r="BO3" s="31" t="s">
        <v>350</v>
      </c>
      <c r="BP3" s="31" t="s">
        <v>351</v>
      </c>
      <c r="BQ3" s="31" t="s">
        <v>352</v>
      </c>
      <c r="BR3" s="31" t="s">
        <v>412</v>
      </c>
      <c r="BS3" s="31" t="s">
        <v>354</v>
      </c>
      <c r="BT3" s="31" t="s">
        <v>355</v>
      </c>
      <c r="BU3" s="31" t="s">
        <v>356</v>
      </c>
      <c r="BV3" s="31" t="s">
        <v>357</v>
      </c>
      <c r="BW3" s="31" t="s">
        <v>358</v>
      </c>
      <c r="BX3" s="31" t="s">
        <v>359</v>
      </c>
      <c r="BY3" s="31" t="s">
        <v>413</v>
      </c>
      <c r="BZ3" s="31" t="s">
        <v>414</v>
      </c>
      <c r="CA3" s="31" t="s">
        <v>415</v>
      </c>
      <c r="CB3" s="31" t="s">
        <v>416</v>
      </c>
      <c r="CC3" s="31" t="s">
        <v>417</v>
      </c>
      <c r="CD3" s="31" t="s">
        <v>418</v>
      </c>
      <c r="CE3" s="31" t="s">
        <v>419</v>
      </c>
      <c r="CF3" s="31" t="s">
        <v>420</v>
      </c>
      <c r="CG3" s="31" t="s">
        <v>421</v>
      </c>
      <c r="CH3" s="31" t="s">
        <v>422</v>
      </c>
      <c r="CI3" s="31" t="s">
        <v>423</v>
      </c>
      <c r="CJ3" s="31" t="s">
        <v>424</v>
      </c>
      <c r="CK3" s="31" t="s">
        <v>425</v>
      </c>
      <c r="CL3" s="31" t="s">
        <v>426</v>
      </c>
      <c r="CM3" s="31" t="s">
        <v>427</v>
      </c>
      <c r="CN3" s="31" t="s">
        <v>428</v>
      </c>
      <c r="CO3" s="31" t="s">
        <v>429</v>
      </c>
      <c r="CP3" s="31" t="s">
        <v>430</v>
      </c>
      <c r="CQ3" s="31" t="s">
        <v>431</v>
      </c>
      <c r="CR3" s="232" t="s">
        <v>432</v>
      </c>
      <c r="CS3" s="232" t="s">
        <v>433</v>
      </c>
      <c r="CT3" s="31" t="s">
        <v>434</v>
      </c>
      <c r="CU3" s="31" t="s">
        <v>435</v>
      </c>
      <c r="CV3" s="31" t="s">
        <v>436</v>
      </c>
      <c r="CW3" s="31" t="s">
        <v>437</v>
      </c>
      <c r="CX3" s="31" t="s">
        <v>438</v>
      </c>
      <c r="CY3" s="31" t="s">
        <v>439</v>
      </c>
      <c r="CZ3" s="171"/>
      <c r="DA3" s="171"/>
      <c r="DB3"/>
      <c r="DC3" s="233" t="s">
        <v>440</v>
      </c>
      <c r="DD3" s="31" t="s">
        <v>441</v>
      </c>
      <c r="DE3" s="31" t="s">
        <v>442</v>
      </c>
      <c r="DF3" s="174" t="s">
        <v>393</v>
      </c>
      <c r="DK3"/>
    </row>
    <row r="4" spans="1:115" x14ac:dyDescent="0.35">
      <c r="B4" s="171" t="str">
        <f>E4&amp;F4</f>
        <v>Markit iBoxx Euro Sustainable Corporate Bond Custom Index45596</v>
      </c>
      <c r="C4">
        <v>0</v>
      </c>
      <c r="D4" t="s">
        <v>443</v>
      </c>
      <c r="E4" t="s">
        <v>273</v>
      </c>
      <c r="F4" s="26">
        <v>45596</v>
      </c>
      <c r="G4">
        <v>3206</v>
      </c>
      <c r="H4">
        <v>0</v>
      </c>
      <c r="I4">
        <v>3206</v>
      </c>
      <c r="J4" s="27">
        <v>0</v>
      </c>
      <c r="K4" s="27">
        <v>1</v>
      </c>
      <c r="L4" t="s">
        <v>444</v>
      </c>
      <c r="M4" s="32">
        <v>17.80592467</v>
      </c>
      <c r="N4" s="27">
        <v>0.98286463300000004</v>
      </c>
      <c r="O4" s="133">
        <v>3143</v>
      </c>
      <c r="P4" s="32">
        <v>3.6953680310000001</v>
      </c>
      <c r="Q4" s="27">
        <v>0.98115516199999997</v>
      </c>
      <c r="R4" s="133">
        <v>3136</v>
      </c>
      <c r="S4" s="32">
        <v>8.6131039380000001</v>
      </c>
      <c r="T4" s="27">
        <v>0.98115516199999997</v>
      </c>
      <c r="U4" s="133">
        <v>3136</v>
      </c>
      <c r="V4" s="32">
        <v>5.4910645819999999</v>
      </c>
      <c r="W4" s="27">
        <v>0.98115516199999997</v>
      </c>
      <c r="X4" s="133">
        <v>3136</v>
      </c>
      <c r="Y4" s="32">
        <v>0</v>
      </c>
      <c r="Z4"/>
      <c r="AA4"/>
      <c r="AB4">
        <v>0</v>
      </c>
      <c r="AC4"/>
      <c r="AD4"/>
      <c r="AE4">
        <v>0.20655247939999999</v>
      </c>
      <c r="AF4">
        <v>3.4079423999999997E-2</v>
      </c>
      <c r="AG4">
        <v>109</v>
      </c>
      <c r="AH4">
        <v>0.39339348699999999</v>
      </c>
      <c r="AI4">
        <v>0.116339834</v>
      </c>
      <c r="AJ4">
        <v>389</v>
      </c>
      <c r="AK4">
        <v>0</v>
      </c>
      <c r="AL4"/>
      <c r="AM4"/>
      <c r="AN4">
        <v>0</v>
      </c>
      <c r="AO4"/>
      <c r="AP4"/>
      <c r="AQ4">
        <v>0</v>
      </c>
      <c r="AR4"/>
      <c r="AS4"/>
      <c r="AT4">
        <v>0.108456278</v>
      </c>
      <c r="AU4">
        <v>0.47767344900000003</v>
      </c>
      <c r="AV4">
        <v>0.37958852900000001</v>
      </c>
      <c r="AW4">
        <v>1.9141035000000001E-2</v>
      </c>
      <c r="AX4">
        <v>3.9994599999999998E-4</v>
      </c>
      <c r="AY4">
        <v>1.4740763E-2</v>
      </c>
      <c r="AZ4"/>
      <c r="BA4"/>
      <c r="BB4"/>
      <c r="BC4"/>
      <c r="BD4"/>
      <c r="BE4"/>
      <c r="BF4"/>
      <c r="BG4"/>
      <c r="BH4"/>
      <c r="BI4"/>
      <c r="BJ4"/>
      <c r="BK4"/>
      <c r="BL4">
        <v>0.43174228399999998</v>
      </c>
      <c r="BM4">
        <v>1</v>
      </c>
      <c r="BN4">
        <v>3206</v>
      </c>
      <c r="BO4">
        <v>66.40848896</v>
      </c>
      <c r="BP4">
        <v>0.78503737699999998</v>
      </c>
      <c r="BQ4">
        <v>2445</v>
      </c>
      <c r="BR4">
        <v>2.3297389000000002E-2</v>
      </c>
      <c r="BS4">
        <v>5.3083904000000001E-2</v>
      </c>
      <c r="BT4">
        <v>1</v>
      </c>
      <c r="BU4">
        <v>3206</v>
      </c>
      <c r="BV4">
        <v>0.16216866299999999</v>
      </c>
      <c r="BW4">
        <v>0.16216866299999999</v>
      </c>
      <c r="BX4">
        <v>570</v>
      </c>
      <c r="BY4">
        <v>0</v>
      </c>
      <c r="BZ4">
        <v>0.99999999999984102</v>
      </c>
      <c r="CA4">
        <v>3206</v>
      </c>
      <c r="CB4">
        <v>9.0457544007889999E-4</v>
      </c>
      <c r="CC4">
        <v>0.99999999999984102</v>
      </c>
      <c r="CD4">
        <v>3206</v>
      </c>
      <c r="CE4">
        <v>0</v>
      </c>
      <c r="CF4">
        <v>0.98474463995599504</v>
      </c>
      <c r="CG4">
        <v>3151</v>
      </c>
      <c r="CH4">
        <v>0</v>
      </c>
      <c r="CI4">
        <v>1</v>
      </c>
      <c r="CJ4">
        <v>3206</v>
      </c>
      <c r="CK4">
        <v>0</v>
      </c>
      <c r="CL4"/>
      <c r="CM4"/>
      <c r="CN4">
        <v>0.13702877399999999</v>
      </c>
      <c r="CO4">
        <v>0.98356073200000005</v>
      </c>
      <c r="CP4">
        <v>3146</v>
      </c>
      <c r="CQ4">
        <v>1</v>
      </c>
      <c r="CR4">
        <v>0.98474463999999995</v>
      </c>
      <c r="CS4">
        <v>3151</v>
      </c>
      <c r="CT4">
        <v>461880116.30000001</v>
      </c>
      <c r="CU4">
        <v>0.98474463999999995</v>
      </c>
      <c r="CV4">
        <v>3151</v>
      </c>
      <c r="CW4">
        <v>0.57823989399999998</v>
      </c>
      <c r="CX4">
        <v>0.77896235700000005</v>
      </c>
      <c r="CY4">
        <v>2427</v>
      </c>
      <c r="CZ4">
        <v>161282.1</v>
      </c>
      <c r="DA4">
        <v>0.786338184</v>
      </c>
      <c r="DB4">
        <v>2450</v>
      </c>
      <c r="DC4">
        <v>0</v>
      </c>
      <c r="DD4"/>
      <c r="DE4"/>
      <c r="DF4" s="171" t="s">
        <v>274</v>
      </c>
      <c r="DG4" s="171" t="s">
        <v>445</v>
      </c>
    </row>
    <row r="5" spans="1:115" x14ac:dyDescent="0.35">
      <c r="B5" s="171" t="str">
        <f t="shared" ref="B5:B68" si="0">E5&amp;F5</f>
        <v>Markit iBoxx Euro Sustainable Corporate Bond Custom Index45626</v>
      </c>
      <c r="C5">
        <v>1</v>
      </c>
      <c r="D5" t="s">
        <v>443</v>
      </c>
      <c r="E5" t="s">
        <v>273</v>
      </c>
      <c r="F5" s="26">
        <v>45626</v>
      </c>
      <c r="G5">
        <v>3228</v>
      </c>
      <c r="H5">
        <v>0</v>
      </c>
      <c r="I5">
        <v>3228</v>
      </c>
      <c r="J5" s="27">
        <v>0</v>
      </c>
      <c r="K5" s="27">
        <v>1</v>
      </c>
      <c r="L5" t="s">
        <v>444</v>
      </c>
      <c r="M5" s="32">
        <v>17.78111234</v>
      </c>
      <c r="N5" s="27">
        <v>0.979858848</v>
      </c>
      <c r="O5" s="133">
        <v>3154</v>
      </c>
      <c r="P5" s="32">
        <v>3.7140845210000002</v>
      </c>
      <c r="Q5">
        <v>0.978150191</v>
      </c>
      <c r="R5">
        <v>3147</v>
      </c>
      <c r="S5">
        <v>8.5890511939999996</v>
      </c>
      <c r="T5">
        <v>0.978150191</v>
      </c>
      <c r="U5">
        <v>3147</v>
      </c>
      <c r="V5">
        <v>5.4715577089999998</v>
      </c>
      <c r="W5">
        <v>0.978150191</v>
      </c>
      <c r="X5">
        <v>3147</v>
      </c>
      <c r="Y5">
        <v>0</v>
      </c>
      <c r="Z5"/>
      <c r="AA5"/>
      <c r="AB5">
        <v>0</v>
      </c>
      <c r="AC5"/>
      <c r="AD5"/>
      <c r="AE5">
        <v>0.2105050272</v>
      </c>
      <c r="AF5">
        <v>3.4352175999999998E-2</v>
      </c>
      <c r="AG5">
        <v>110</v>
      </c>
      <c r="AH5">
        <v>0.39375811500000002</v>
      </c>
      <c r="AI5">
        <v>0.11612051900000001</v>
      </c>
      <c r="AJ5">
        <v>391</v>
      </c>
      <c r="AK5">
        <v>0</v>
      </c>
      <c r="AL5"/>
      <c r="AM5"/>
      <c r="AN5">
        <v>0</v>
      </c>
      <c r="AO5"/>
      <c r="AP5"/>
      <c r="AQ5">
        <v>0</v>
      </c>
      <c r="AR5"/>
      <c r="AS5"/>
      <c r="AT5">
        <v>0.104382115</v>
      </c>
      <c r="AU5">
        <v>0.48689215400000002</v>
      </c>
      <c r="AV5">
        <v>0.37245296</v>
      </c>
      <c r="AW5">
        <v>1.8148277000000001E-2</v>
      </c>
      <c r="AX5">
        <v>0</v>
      </c>
      <c r="AY5">
        <v>1.8124492999999998E-2</v>
      </c>
      <c r="AZ5"/>
      <c r="BA5"/>
      <c r="BB5"/>
      <c r="BC5"/>
      <c r="BD5"/>
      <c r="BE5"/>
      <c r="BF5"/>
      <c r="BG5"/>
      <c r="BH5"/>
      <c r="BI5"/>
      <c r="BJ5"/>
      <c r="BK5"/>
      <c r="BL5">
        <v>0.43509829900000002</v>
      </c>
      <c r="BM5">
        <v>1</v>
      </c>
      <c r="BN5">
        <v>3228</v>
      </c>
      <c r="BO5">
        <v>65.914711209999993</v>
      </c>
      <c r="BP5">
        <v>0.78250099200000001</v>
      </c>
      <c r="BQ5">
        <v>2452</v>
      </c>
      <c r="BR5">
        <v>2.3097381E-2</v>
      </c>
      <c r="BS5">
        <v>5.3437775999999999E-2</v>
      </c>
      <c r="BT5">
        <v>1</v>
      </c>
      <c r="BU5">
        <v>3228</v>
      </c>
      <c r="BV5">
        <v>0.16450060799999999</v>
      </c>
      <c r="BW5">
        <v>0.16450060799999999</v>
      </c>
      <c r="BX5">
        <v>583</v>
      </c>
      <c r="BY5">
        <v>0</v>
      </c>
      <c r="BZ5">
        <v>0.99999999999983902</v>
      </c>
      <c r="CA5">
        <v>3228</v>
      </c>
      <c r="CB5">
        <v>9.0939966983849996E-4</v>
      </c>
      <c r="CC5">
        <v>0.99999999999983902</v>
      </c>
      <c r="CD5">
        <v>3228</v>
      </c>
      <c r="CE5">
        <v>0</v>
      </c>
      <c r="CF5">
        <v>0.98173285015942402</v>
      </c>
      <c r="CG5">
        <v>3162</v>
      </c>
      <c r="CH5">
        <v>0</v>
      </c>
      <c r="CI5">
        <v>1</v>
      </c>
      <c r="CJ5">
        <v>3228</v>
      </c>
      <c r="CK5">
        <v>0</v>
      </c>
      <c r="CL5"/>
      <c r="CM5"/>
      <c r="CN5">
        <v>0.13503399499999999</v>
      </c>
      <c r="CO5">
        <v>0.98055207600000005</v>
      </c>
      <c r="CP5">
        <v>3157</v>
      </c>
      <c r="CQ5">
        <v>1</v>
      </c>
      <c r="CR5">
        <v>0.98173284999999999</v>
      </c>
      <c r="CS5">
        <v>3162</v>
      </c>
      <c r="CT5">
        <v>461880116.30000001</v>
      </c>
      <c r="CU5">
        <v>0.98173284999999999</v>
      </c>
      <c r="CV5">
        <v>3162</v>
      </c>
      <c r="CW5">
        <v>0.57592124300000003</v>
      </c>
      <c r="CX5">
        <v>0.77644895800000002</v>
      </c>
      <c r="CY5">
        <v>2434</v>
      </c>
      <c r="CZ5">
        <v>161838.70000000001</v>
      </c>
      <c r="DA5">
        <v>0.78381238099999995</v>
      </c>
      <c r="DB5">
        <v>2457</v>
      </c>
      <c r="DC5">
        <v>0</v>
      </c>
      <c r="DD5"/>
      <c r="DE5"/>
      <c r="DF5" s="171" t="s">
        <v>274</v>
      </c>
      <c r="DG5" s="171" t="s">
        <v>445</v>
      </c>
    </row>
    <row r="6" spans="1:115" x14ac:dyDescent="0.35">
      <c r="B6" s="171" t="str">
        <f t="shared" si="0"/>
        <v>iBoxx SD-KPI GBP Corporates45596</v>
      </c>
      <c r="C6">
        <v>2</v>
      </c>
      <c r="D6" t="s">
        <v>446</v>
      </c>
      <c r="E6" t="s">
        <v>253</v>
      </c>
      <c r="F6" s="26">
        <v>45596</v>
      </c>
      <c r="G6">
        <v>848</v>
      </c>
      <c r="H6">
        <v>0</v>
      </c>
      <c r="I6">
        <v>848</v>
      </c>
      <c r="J6" s="27">
        <v>0</v>
      </c>
      <c r="K6" s="27">
        <v>1</v>
      </c>
      <c r="L6" t="s">
        <v>444</v>
      </c>
      <c r="M6" s="32">
        <v>19.563222060000001</v>
      </c>
      <c r="N6" s="27">
        <v>0.89973107100000005</v>
      </c>
      <c r="O6" s="133">
        <v>679</v>
      </c>
      <c r="P6" s="32">
        <v>3.4862661639999999</v>
      </c>
      <c r="Q6">
        <v>0.894033352</v>
      </c>
      <c r="R6">
        <v>668</v>
      </c>
      <c r="S6">
        <v>9.7702059549999998</v>
      </c>
      <c r="T6">
        <v>0.894033352</v>
      </c>
      <c r="U6">
        <v>668</v>
      </c>
      <c r="V6">
        <v>6.2475623770000004</v>
      </c>
      <c r="W6">
        <v>0.894033352</v>
      </c>
      <c r="X6">
        <v>668</v>
      </c>
      <c r="Y6">
        <v>0</v>
      </c>
      <c r="Z6"/>
      <c r="AA6"/>
      <c r="AB6">
        <v>0</v>
      </c>
      <c r="AC6"/>
      <c r="AD6"/>
      <c r="AE6">
        <v>0.2032883852</v>
      </c>
      <c r="AF6">
        <v>0.157631405</v>
      </c>
      <c r="AG6">
        <v>127</v>
      </c>
      <c r="AH6">
        <v>1.01320656</v>
      </c>
      <c r="AI6">
        <v>0.11158950199999999</v>
      </c>
      <c r="AJ6">
        <v>67</v>
      </c>
      <c r="AK6">
        <v>0</v>
      </c>
      <c r="AL6"/>
      <c r="AM6"/>
      <c r="AN6">
        <v>0</v>
      </c>
      <c r="AO6"/>
      <c r="AP6"/>
      <c r="AQ6">
        <v>0</v>
      </c>
      <c r="AR6"/>
      <c r="AS6"/>
      <c r="AT6">
        <v>5.3670461000000003E-2</v>
      </c>
      <c r="AU6">
        <v>0.43083117199999998</v>
      </c>
      <c r="AV6">
        <v>0.42388135999999998</v>
      </c>
      <c r="AW6">
        <v>6.5898055999999997E-2</v>
      </c>
      <c r="AX6">
        <v>1.4099010000000001E-3</v>
      </c>
      <c r="AY6">
        <v>2.4309048999999999E-2</v>
      </c>
      <c r="AZ6"/>
      <c r="BA6"/>
      <c r="BB6"/>
      <c r="BC6"/>
      <c r="BD6"/>
      <c r="BE6"/>
      <c r="BF6"/>
      <c r="BG6"/>
      <c r="BH6"/>
      <c r="BI6"/>
      <c r="BJ6"/>
      <c r="BK6"/>
      <c r="BL6">
        <v>0.39684771400000002</v>
      </c>
      <c r="BM6">
        <v>1</v>
      </c>
      <c r="BN6">
        <v>848</v>
      </c>
      <c r="BO6">
        <v>34.317656460000002</v>
      </c>
      <c r="BP6">
        <v>0.75526543000000002</v>
      </c>
      <c r="BQ6">
        <v>559</v>
      </c>
      <c r="BR6">
        <v>1.2375260000000001E-2</v>
      </c>
      <c r="BS6">
        <v>3.3130331999999998E-2</v>
      </c>
      <c r="BT6">
        <v>1</v>
      </c>
      <c r="BU6">
        <v>848</v>
      </c>
      <c r="BV6">
        <v>5.3784578E-2</v>
      </c>
      <c r="BW6">
        <v>5.3784578E-2</v>
      </c>
      <c r="BX6">
        <v>56</v>
      </c>
      <c r="BY6">
        <v>2.4693200073601001E-3</v>
      </c>
      <c r="BZ6">
        <v>0.99999999999995903</v>
      </c>
      <c r="CA6">
        <v>848</v>
      </c>
      <c r="CB6">
        <v>9.4060523523654994E-3</v>
      </c>
      <c r="CC6">
        <v>0.99999999999995903</v>
      </c>
      <c r="CD6">
        <v>848</v>
      </c>
      <c r="CE6">
        <v>0</v>
      </c>
      <c r="CF6">
        <v>0.89973107060763102</v>
      </c>
      <c r="CG6">
        <v>679</v>
      </c>
      <c r="CH6">
        <v>0</v>
      </c>
      <c r="CI6">
        <v>1</v>
      </c>
      <c r="CJ6">
        <v>848</v>
      </c>
      <c r="CK6">
        <v>0</v>
      </c>
      <c r="CL6"/>
      <c r="CM6"/>
      <c r="CN6">
        <v>0.13326495199999999</v>
      </c>
      <c r="CO6">
        <v>0.89973107100000005</v>
      </c>
      <c r="CP6">
        <v>679</v>
      </c>
      <c r="CQ6">
        <v>3</v>
      </c>
      <c r="CR6">
        <v>0.89973107100000005</v>
      </c>
      <c r="CS6">
        <v>679</v>
      </c>
      <c r="CT6">
        <v>728507445</v>
      </c>
      <c r="CU6">
        <v>0.89973107100000005</v>
      </c>
      <c r="CV6">
        <v>679</v>
      </c>
      <c r="CW6">
        <v>0.59460374999999999</v>
      </c>
      <c r="CX6">
        <v>0.77773745599999999</v>
      </c>
      <c r="CY6">
        <v>567</v>
      </c>
      <c r="CZ6">
        <v>38998.400000000001</v>
      </c>
      <c r="DA6">
        <v>0.77951691700000003</v>
      </c>
      <c r="DB6">
        <v>568</v>
      </c>
      <c r="DC6">
        <v>0</v>
      </c>
      <c r="DD6"/>
      <c r="DE6"/>
      <c r="DF6" s="171" t="s">
        <v>254</v>
      </c>
      <c r="DG6" s="171" t="s">
        <v>445</v>
      </c>
    </row>
    <row r="7" spans="1:115" x14ac:dyDescent="0.35">
      <c r="B7" s="171" t="str">
        <f t="shared" si="0"/>
        <v>iBoxx SD-KPI GBP Corporates45626</v>
      </c>
      <c r="C7">
        <v>3</v>
      </c>
      <c r="D7" t="s">
        <v>446</v>
      </c>
      <c r="E7" t="s">
        <v>253</v>
      </c>
      <c r="F7" s="26">
        <v>45626</v>
      </c>
      <c r="G7">
        <v>850</v>
      </c>
      <c r="H7">
        <v>0</v>
      </c>
      <c r="I7">
        <v>850</v>
      </c>
      <c r="J7" s="27">
        <v>0</v>
      </c>
      <c r="K7" s="27">
        <v>1</v>
      </c>
      <c r="L7" t="s">
        <v>444</v>
      </c>
      <c r="M7" s="32">
        <v>19.560052840000001</v>
      </c>
      <c r="N7" s="27">
        <v>0.89906124799999998</v>
      </c>
      <c r="O7" s="133">
        <v>681</v>
      </c>
      <c r="P7" s="32">
        <v>3.5248588550000002</v>
      </c>
      <c r="Q7">
        <v>0.89331987800000001</v>
      </c>
      <c r="R7">
        <v>670</v>
      </c>
      <c r="S7">
        <v>9.7475332849999994</v>
      </c>
      <c r="T7">
        <v>0.89331987800000001</v>
      </c>
      <c r="U7">
        <v>670</v>
      </c>
      <c r="V7">
        <v>6.2278784600000003</v>
      </c>
      <c r="W7">
        <v>0.89331987800000001</v>
      </c>
      <c r="X7">
        <v>670</v>
      </c>
      <c r="Y7">
        <v>0</v>
      </c>
      <c r="Z7"/>
      <c r="AA7"/>
      <c r="AB7">
        <v>0</v>
      </c>
      <c r="AC7"/>
      <c r="AD7"/>
      <c r="AE7">
        <v>0.2018774686</v>
      </c>
      <c r="AF7">
        <v>0.15104400000000001</v>
      </c>
      <c r="AG7">
        <v>124</v>
      </c>
      <c r="AH7">
        <v>1.024762041</v>
      </c>
      <c r="AI7">
        <v>0.116405957</v>
      </c>
      <c r="AJ7">
        <v>70</v>
      </c>
      <c r="AK7">
        <v>0</v>
      </c>
      <c r="AL7"/>
      <c r="AM7"/>
      <c r="AN7">
        <v>0</v>
      </c>
      <c r="AO7"/>
      <c r="AP7"/>
      <c r="AQ7">
        <v>0</v>
      </c>
      <c r="AR7"/>
      <c r="AS7"/>
      <c r="AT7">
        <v>4.8931826999999997E-2</v>
      </c>
      <c r="AU7">
        <v>0.46013061799999999</v>
      </c>
      <c r="AV7">
        <v>0.39665114099999998</v>
      </c>
      <c r="AW7">
        <v>6.8891440999999998E-2</v>
      </c>
      <c r="AX7">
        <v>1.4219840000000001E-3</v>
      </c>
      <c r="AY7">
        <v>2.3972988000000001E-2</v>
      </c>
      <c r="AZ7"/>
      <c r="BA7"/>
      <c r="BB7"/>
      <c r="BC7"/>
      <c r="BD7"/>
      <c r="BE7"/>
      <c r="BF7"/>
      <c r="BG7"/>
      <c r="BH7"/>
      <c r="BI7"/>
      <c r="BJ7"/>
      <c r="BK7"/>
      <c r="BL7">
        <v>0.402379025</v>
      </c>
      <c r="BM7">
        <v>1</v>
      </c>
      <c r="BN7">
        <v>850</v>
      </c>
      <c r="BO7">
        <v>35.624183870000003</v>
      </c>
      <c r="BP7">
        <v>0.75970130199999997</v>
      </c>
      <c r="BQ7">
        <v>560</v>
      </c>
      <c r="BR7">
        <v>1.2454849E-2</v>
      </c>
      <c r="BS7">
        <v>3.3944026000000002E-2</v>
      </c>
      <c r="BT7">
        <v>1</v>
      </c>
      <c r="BU7">
        <v>850</v>
      </c>
      <c r="BV7">
        <v>5.3057093E-2</v>
      </c>
      <c r="BW7">
        <v>5.3057093E-2</v>
      </c>
      <c r="BX7">
        <v>55</v>
      </c>
      <c r="BY7">
        <v>2.4749871412399998E-3</v>
      </c>
      <c r="BZ7">
        <v>0.99999999999995903</v>
      </c>
      <c r="CA7">
        <v>850</v>
      </c>
      <c r="CB7">
        <v>9.4163679924774996E-3</v>
      </c>
      <c r="CC7">
        <v>0.99999999999995903</v>
      </c>
      <c r="CD7">
        <v>850</v>
      </c>
      <c r="CE7">
        <v>0</v>
      </c>
      <c r="CF7">
        <v>0.89906124845714097</v>
      </c>
      <c r="CG7">
        <v>681</v>
      </c>
      <c r="CH7">
        <v>0</v>
      </c>
      <c r="CI7">
        <v>1</v>
      </c>
      <c r="CJ7">
        <v>850</v>
      </c>
      <c r="CK7">
        <v>0</v>
      </c>
      <c r="CL7"/>
      <c r="CM7"/>
      <c r="CN7">
        <v>0.13349134400000001</v>
      </c>
      <c r="CO7">
        <v>0.89906124799999998</v>
      </c>
      <c r="CP7">
        <v>681</v>
      </c>
      <c r="CQ7">
        <v>3</v>
      </c>
      <c r="CR7">
        <v>0.89906124799999998</v>
      </c>
      <c r="CS7">
        <v>681</v>
      </c>
      <c r="CT7">
        <v>728507445</v>
      </c>
      <c r="CU7">
        <v>0.89906124799999998</v>
      </c>
      <c r="CV7">
        <v>681</v>
      </c>
      <c r="CW7">
        <v>0.60081258800000004</v>
      </c>
      <c r="CX7">
        <v>0.78421025899999997</v>
      </c>
      <c r="CY7">
        <v>569</v>
      </c>
      <c r="CZ7">
        <v>39117</v>
      </c>
      <c r="DA7">
        <v>0.78599171800000001</v>
      </c>
      <c r="DB7">
        <v>570</v>
      </c>
      <c r="DC7">
        <v>0</v>
      </c>
      <c r="DD7"/>
      <c r="DE7"/>
      <c r="DF7" s="171" t="s">
        <v>254</v>
      </c>
      <c r="DG7" s="171" t="s">
        <v>445</v>
      </c>
    </row>
    <row r="8" spans="1:115" x14ac:dyDescent="0.35">
      <c r="B8" s="171" t="str">
        <f t="shared" si="0"/>
        <v>iBoxx GBP Corporates 1-5 ESG Screened45596</v>
      </c>
      <c r="C8">
        <v>4</v>
      </c>
      <c r="D8" t="s">
        <v>447</v>
      </c>
      <c r="E8" t="s">
        <v>178</v>
      </c>
      <c r="F8" s="26">
        <v>45596</v>
      </c>
      <c r="G8">
        <v>370</v>
      </c>
      <c r="H8">
        <v>0</v>
      </c>
      <c r="I8">
        <v>370</v>
      </c>
      <c r="J8" s="27">
        <v>0</v>
      </c>
      <c r="K8" s="27">
        <v>1</v>
      </c>
      <c r="L8" t="s">
        <v>444</v>
      </c>
      <c r="M8" s="32">
        <v>19.228842830000001</v>
      </c>
      <c r="N8" s="27">
        <v>0.91285785699999999</v>
      </c>
      <c r="O8" s="133">
        <v>326</v>
      </c>
      <c r="P8" s="32">
        <v>2.3720903529999999</v>
      </c>
      <c r="Q8">
        <v>0.90700308500000004</v>
      </c>
      <c r="R8">
        <v>323</v>
      </c>
      <c r="S8">
        <v>9.948138814</v>
      </c>
      <c r="T8">
        <v>0.90700308500000004</v>
      </c>
      <c r="U8">
        <v>323</v>
      </c>
      <c r="V8">
        <v>6.9211038010000001</v>
      </c>
      <c r="W8">
        <v>0.90700308500000004</v>
      </c>
      <c r="X8">
        <v>323</v>
      </c>
      <c r="Y8">
        <v>0</v>
      </c>
      <c r="Z8"/>
      <c r="AA8"/>
      <c r="AB8">
        <v>0</v>
      </c>
      <c r="AC8"/>
      <c r="AD8"/>
      <c r="AE8">
        <v>0.24116826450000001</v>
      </c>
      <c r="AF8">
        <v>0.144338573</v>
      </c>
      <c r="AG8">
        <v>55</v>
      </c>
      <c r="AH8">
        <v>0.41299617500000002</v>
      </c>
      <c r="AI8">
        <v>2.2737008999999999E-2</v>
      </c>
      <c r="AJ8">
        <v>10</v>
      </c>
      <c r="AK8">
        <v>0</v>
      </c>
      <c r="AL8"/>
      <c r="AM8"/>
      <c r="AN8">
        <v>0</v>
      </c>
      <c r="AO8"/>
      <c r="AP8"/>
      <c r="AQ8">
        <v>0</v>
      </c>
      <c r="AR8"/>
      <c r="AS8"/>
      <c r="AT8">
        <v>4.9739274E-2</v>
      </c>
      <c r="AU8">
        <v>0.44029019000000003</v>
      </c>
      <c r="AV8">
        <v>0.47379944800000001</v>
      </c>
      <c r="AW8">
        <v>3.3204442000000001E-2</v>
      </c>
      <c r="AX8">
        <v>0</v>
      </c>
      <c r="AY8">
        <v>2.9666470000000002E-3</v>
      </c>
      <c r="AZ8"/>
      <c r="BA8"/>
      <c r="BB8"/>
      <c r="BC8"/>
      <c r="BD8"/>
      <c r="BE8"/>
      <c r="BF8"/>
      <c r="BG8"/>
      <c r="BH8"/>
      <c r="BI8"/>
      <c r="BJ8"/>
      <c r="BK8"/>
      <c r="BL8">
        <v>0.248824717</v>
      </c>
      <c r="BM8">
        <v>1</v>
      </c>
      <c r="BN8">
        <v>370</v>
      </c>
      <c r="BO8">
        <v>11.152309600000001</v>
      </c>
      <c r="BP8">
        <v>0.75561222699999997</v>
      </c>
      <c r="BQ8">
        <v>262</v>
      </c>
      <c r="BR8">
        <v>1.8141494000000001E-2</v>
      </c>
      <c r="BS8">
        <v>1.1692984999999999E-2</v>
      </c>
      <c r="BT8">
        <v>1</v>
      </c>
      <c r="BU8">
        <v>370</v>
      </c>
      <c r="BV8">
        <v>4.8746517000000003E-2</v>
      </c>
      <c r="BW8">
        <v>4.8746517000000003E-2</v>
      </c>
      <c r="BX8">
        <v>20</v>
      </c>
      <c r="BY8">
        <v>0</v>
      </c>
      <c r="BZ8">
        <v>0.99999999999998201</v>
      </c>
      <c r="CA8">
        <v>370</v>
      </c>
      <c r="CB8">
        <v>0</v>
      </c>
      <c r="CC8">
        <v>0.99999999999998201</v>
      </c>
      <c r="CD8">
        <v>370</v>
      </c>
      <c r="CE8">
        <v>0</v>
      </c>
      <c r="CF8">
        <v>0.91285785700444899</v>
      </c>
      <c r="CG8">
        <v>326</v>
      </c>
      <c r="CH8">
        <v>0</v>
      </c>
      <c r="CI8">
        <v>1</v>
      </c>
      <c r="CJ8">
        <v>370</v>
      </c>
      <c r="CK8">
        <v>0</v>
      </c>
      <c r="CL8"/>
      <c r="CM8"/>
      <c r="CN8">
        <v>0.14658053099999999</v>
      </c>
      <c r="CO8">
        <v>0.91285785699999999</v>
      </c>
      <c r="CP8">
        <v>326</v>
      </c>
      <c r="CQ8">
        <v>1</v>
      </c>
      <c r="CR8">
        <v>0.91285785699999999</v>
      </c>
      <c r="CS8">
        <v>326</v>
      </c>
      <c r="CT8">
        <v>40385355</v>
      </c>
      <c r="CU8">
        <v>0.91285785699999999</v>
      </c>
      <c r="CV8">
        <v>326</v>
      </c>
      <c r="CW8">
        <v>0.56490094099999999</v>
      </c>
      <c r="CX8">
        <v>0.75221349299999996</v>
      </c>
      <c r="CY8">
        <v>261</v>
      </c>
      <c r="CZ8">
        <v>17967.7</v>
      </c>
      <c r="DA8">
        <v>0.75561222699999997</v>
      </c>
      <c r="DB8">
        <v>262</v>
      </c>
      <c r="DC8">
        <v>0</v>
      </c>
      <c r="DD8"/>
      <c r="DE8"/>
      <c r="DF8" s="171" t="s">
        <v>179</v>
      </c>
      <c r="DG8" s="171" t="s">
        <v>445</v>
      </c>
    </row>
    <row r="9" spans="1:115" x14ac:dyDescent="0.35">
      <c r="B9" s="171" t="str">
        <f t="shared" si="0"/>
        <v>iBoxx GBP Corporates 1-5 ESG Screened45626</v>
      </c>
      <c r="C9">
        <v>5</v>
      </c>
      <c r="D9" t="s">
        <v>447</v>
      </c>
      <c r="E9" t="s">
        <v>178</v>
      </c>
      <c r="F9" s="26">
        <v>45626</v>
      </c>
      <c r="G9">
        <v>373</v>
      </c>
      <c r="H9">
        <v>0</v>
      </c>
      <c r="I9">
        <v>373</v>
      </c>
      <c r="J9" s="27">
        <v>0</v>
      </c>
      <c r="K9" s="27">
        <v>1</v>
      </c>
      <c r="L9" t="s">
        <v>444</v>
      </c>
      <c r="M9" s="32">
        <v>19.1626671</v>
      </c>
      <c r="N9" s="27">
        <v>0.91229872199999995</v>
      </c>
      <c r="O9" s="133">
        <v>328</v>
      </c>
      <c r="P9" s="32">
        <v>2.3802229499999998</v>
      </c>
      <c r="Q9">
        <v>0.906453493</v>
      </c>
      <c r="R9">
        <v>325</v>
      </c>
      <c r="S9">
        <v>9.8937085390000004</v>
      </c>
      <c r="T9">
        <v>0.906453493</v>
      </c>
      <c r="U9">
        <v>325</v>
      </c>
      <c r="V9">
        <v>6.9008024140000002</v>
      </c>
      <c r="W9">
        <v>0.906453493</v>
      </c>
      <c r="X9">
        <v>325</v>
      </c>
      <c r="Y9">
        <v>0</v>
      </c>
      <c r="Z9"/>
      <c r="AA9"/>
      <c r="AB9">
        <v>0</v>
      </c>
      <c r="AC9"/>
      <c r="AD9"/>
      <c r="AE9">
        <v>0.23593983470000002</v>
      </c>
      <c r="AF9">
        <v>0.13910014400000001</v>
      </c>
      <c r="AG9">
        <v>53</v>
      </c>
      <c r="AH9">
        <v>0.41316011000000002</v>
      </c>
      <c r="AI9">
        <v>2.2440799000000001E-2</v>
      </c>
      <c r="AJ9">
        <v>10</v>
      </c>
      <c r="AK9">
        <v>0</v>
      </c>
      <c r="AL9"/>
      <c r="AM9"/>
      <c r="AN9">
        <v>0</v>
      </c>
      <c r="AO9"/>
      <c r="AP9"/>
      <c r="AQ9">
        <v>0</v>
      </c>
      <c r="AR9"/>
      <c r="AS9"/>
      <c r="AT9">
        <v>4.1655978000000003E-2</v>
      </c>
      <c r="AU9">
        <v>0.49378696799999999</v>
      </c>
      <c r="AV9">
        <v>0.427073486</v>
      </c>
      <c r="AW9">
        <v>3.4532436999999999E-2</v>
      </c>
      <c r="AX9">
        <v>0</v>
      </c>
      <c r="AY9">
        <v>2.9511310000000001E-3</v>
      </c>
      <c r="AZ9"/>
      <c r="BA9"/>
      <c r="BB9"/>
      <c r="BC9"/>
      <c r="BD9"/>
      <c r="BE9"/>
      <c r="BF9"/>
      <c r="BG9"/>
      <c r="BH9"/>
      <c r="BI9"/>
      <c r="BJ9"/>
      <c r="BK9"/>
      <c r="BL9">
        <v>0.25127833199999999</v>
      </c>
      <c r="BM9">
        <v>1</v>
      </c>
      <c r="BN9">
        <v>373</v>
      </c>
      <c r="BO9">
        <v>11.33860722</v>
      </c>
      <c r="BP9">
        <v>0.75565264799999998</v>
      </c>
      <c r="BQ9">
        <v>264</v>
      </c>
      <c r="BR9">
        <v>1.8092896000000001E-2</v>
      </c>
      <c r="BS9">
        <v>1.1678666000000001E-2</v>
      </c>
      <c r="BT9">
        <v>1</v>
      </c>
      <c r="BU9">
        <v>373</v>
      </c>
      <c r="BV9">
        <v>4.6072824999999998E-2</v>
      </c>
      <c r="BW9">
        <v>4.6072824999999998E-2</v>
      </c>
      <c r="BX9">
        <v>19</v>
      </c>
      <c r="BY9">
        <v>0</v>
      </c>
      <c r="BZ9">
        <v>0.99999999999998201</v>
      </c>
      <c r="CA9">
        <v>373</v>
      </c>
      <c r="CB9">
        <v>0</v>
      </c>
      <c r="CC9">
        <v>0.99999999999998201</v>
      </c>
      <c r="CD9">
        <v>373</v>
      </c>
      <c r="CE9">
        <v>0</v>
      </c>
      <c r="CF9">
        <v>0.912298721741579</v>
      </c>
      <c r="CG9">
        <v>328</v>
      </c>
      <c r="CH9">
        <v>0</v>
      </c>
      <c r="CI9">
        <v>1</v>
      </c>
      <c r="CJ9">
        <v>373</v>
      </c>
      <c r="CK9">
        <v>0</v>
      </c>
      <c r="CL9"/>
      <c r="CM9"/>
      <c r="CN9">
        <v>0.14443218099999999</v>
      </c>
      <c r="CO9">
        <v>0.91229872199999995</v>
      </c>
      <c r="CP9">
        <v>328</v>
      </c>
      <c r="CQ9">
        <v>1</v>
      </c>
      <c r="CR9">
        <v>0.91229872199999995</v>
      </c>
      <c r="CS9">
        <v>328</v>
      </c>
      <c r="CT9">
        <v>40385355</v>
      </c>
      <c r="CU9">
        <v>0.91229872199999995</v>
      </c>
      <c r="CV9">
        <v>328</v>
      </c>
      <c r="CW9">
        <v>0.56156362299999996</v>
      </c>
      <c r="CX9">
        <v>0.752267558</v>
      </c>
      <c r="CY9">
        <v>263</v>
      </c>
      <c r="CZ9">
        <v>18117.7</v>
      </c>
      <c r="DA9">
        <v>0.75565264799999998</v>
      </c>
      <c r="DB9">
        <v>264</v>
      </c>
      <c r="DC9">
        <v>0</v>
      </c>
      <c r="DD9"/>
      <c r="DE9"/>
      <c r="DF9" s="171" t="s">
        <v>179</v>
      </c>
      <c r="DG9" s="171" t="s">
        <v>445</v>
      </c>
    </row>
    <row r="10" spans="1:115" x14ac:dyDescent="0.35">
      <c r="B10" s="171" t="str">
        <f t="shared" si="0"/>
        <v>iBoxx GBP Corporates ESG45596</v>
      </c>
      <c r="C10">
        <v>6</v>
      </c>
      <c r="D10" t="s">
        <v>448</v>
      </c>
      <c r="E10" t="s">
        <v>180</v>
      </c>
      <c r="F10" s="26">
        <v>45596</v>
      </c>
      <c r="G10">
        <v>709</v>
      </c>
      <c r="H10">
        <v>0</v>
      </c>
      <c r="I10">
        <v>709</v>
      </c>
      <c r="J10" s="27">
        <v>0</v>
      </c>
      <c r="K10" s="27">
        <v>1</v>
      </c>
      <c r="L10" t="s">
        <v>444</v>
      </c>
      <c r="M10" s="32">
        <v>18.81603716</v>
      </c>
      <c r="N10" s="27">
        <v>0.89391789200000005</v>
      </c>
      <c r="O10" s="133">
        <v>606</v>
      </c>
      <c r="P10" s="32">
        <v>2.9781831169999999</v>
      </c>
      <c r="Q10">
        <v>0.88988746100000005</v>
      </c>
      <c r="R10">
        <v>602</v>
      </c>
      <c r="S10">
        <v>9.5565976500000005</v>
      </c>
      <c r="T10">
        <v>0.88988746100000005</v>
      </c>
      <c r="U10">
        <v>602</v>
      </c>
      <c r="V10">
        <v>6.2875570730000003</v>
      </c>
      <c r="W10">
        <v>0.88988746100000005</v>
      </c>
      <c r="X10">
        <v>602</v>
      </c>
      <c r="Y10">
        <v>0</v>
      </c>
      <c r="Z10"/>
      <c r="AA10"/>
      <c r="AB10">
        <v>0</v>
      </c>
      <c r="AC10"/>
      <c r="AD10"/>
      <c r="AE10">
        <v>0.20479598439999999</v>
      </c>
      <c r="AF10">
        <v>0.17307531600000001</v>
      </c>
      <c r="AG10">
        <v>123</v>
      </c>
      <c r="AH10">
        <v>0.50885681699999996</v>
      </c>
      <c r="AI10">
        <v>6.5869698000000004E-2</v>
      </c>
      <c r="AJ10">
        <v>39</v>
      </c>
      <c r="AK10">
        <v>0</v>
      </c>
      <c r="AL10"/>
      <c r="AM10"/>
      <c r="AN10">
        <v>0</v>
      </c>
      <c r="AO10"/>
      <c r="AP10"/>
      <c r="AQ10">
        <v>0</v>
      </c>
      <c r="AR10"/>
      <c r="AS10"/>
      <c r="AT10">
        <v>5.5877964000000002E-2</v>
      </c>
      <c r="AU10">
        <v>0.45319251300000002</v>
      </c>
      <c r="AV10">
        <v>0.49092952299999998</v>
      </c>
      <c r="AW10">
        <v>0</v>
      </c>
      <c r="AX10">
        <v>0</v>
      </c>
      <c r="AY10">
        <v>0</v>
      </c>
      <c r="AZ10"/>
      <c r="BA10"/>
      <c r="BB10"/>
      <c r="BC10"/>
      <c r="BD10"/>
      <c r="BE10"/>
      <c r="BF10"/>
      <c r="BG10"/>
      <c r="BH10"/>
      <c r="BI10"/>
      <c r="BJ10"/>
      <c r="BK10"/>
      <c r="BL10">
        <v>0.37691882999999998</v>
      </c>
      <c r="BM10">
        <v>1</v>
      </c>
      <c r="BN10">
        <v>709</v>
      </c>
      <c r="BO10">
        <v>30.425134020000002</v>
      </c>
      <c r="BP10">
        <v>0.76031249199999995</v>
      </c>
      <c r="BQ10">
        <v>501</v>
      </c>
      <c r="BR10">
        <v>1.3173974E-2</v>
      </c>
      <c r="BS10">
        <v>1.5412679E-2</v>
      </c>
      <c r="BT10">
        <v>1</v>
      </c>
      <c r="BU10">
        <v>709</v>
      </c>
      <c r="BV10">
        <v>5.8492767000000001E-2</v>
      </c>
      <c r="BW10">
        <v>5.8492767000000001E-2</v>
      </c>
      <c r="BX10">
        <v>48</v>
      </c>
      <c r="BY10">
        <v>0</v>
      </c>
      <c r="BZ10">
        <v>0.99999999999996603</v>
      </c>
      <c r="CA10">
        <v>709</v>
      </c>
      <c r="CB10">
        <v>0</v>
      </c>
      <c r="CC10">
        <v>0.99999999999996603</v>
      </c>
      <c r="CD10">
        <v>709</v>
      </c>
      <c r="CE10">
        <v>0</v>
      </c>
      <c r="CF10">
        <v>0.89391789160225299</v>
      </c>
      <c r="CG10">
        <v>606</v>
      </c>
      <c r="CH10">
        <v>0</v>
      </c>
      <c r="CI10">
        <v>1</v>
      </c>
      <c r="CJ10">
        <v>709</v>
      </c>
      <c r="CK10">
        <v>0</v>
      </c>
      <c r="CL10"/>
      <c r="CM10"/>
      <c r="CN10">
        <v>0.13087759800000001</v>
      </c>
      <c r="CO10">
        <v>0.89391789200000005</v>
      </c>
      <c r="CP10">
        <v>606</v>
      </c>
      <c r="CQ10">
        <v>1</v>
      </c>
      <c r="CR10">
        <v>0.89391789200000005</v>
      </c>
      <c r="CS10">
        <v>606</v>
      </c>
      <c r="CT10">
        <v>40385355</v>
      </c>
      <c r="CU10">
        <v>0.89391789200000005</v>
      </c>
      <c r="CV10">
        <v>606</v>
      </c>
      <c r="CW10">
        <v>0.563303628</v>
      </c>
      <c r="CX10">
        <v>0.75852223200000002</v>
      </c>
      <c r="CY10">
        <v>500</v>
      </c>
      <c r="CZ10">
        <v>34913.699999999997</v>
      </c>
      <c r="DA10">
        <v>0.76031249199999995</v>
      </c>
      <c r="DB10">
        <v>501</v>
      </c>
      <c r="DC10">
        <v>0</v>
      </c>
      <c r="DD10"/>
      <c r="DE10"/>
      <c r="DF10" s="171" t="s">
        <v>181</v>
      </c>
      <c r="DG10" s="171" t="s">
        <v>445</v>
      </c>
    </row>
    <row r="11" spans="1:115" x14ac:dyDescent="0.35">
      <c r="B11" s="171" t="str">
        <f t="shared" si="0"/>
        <v>iBoxx GBP Corporates ESG45626</v>
      </c>
      <c r="C11">
        <v>10</v>
      </c>
      <c r="D11" t="s">
        <v>448</v>
      </c>
      <c r="E11" t="s">
        <v>180</v>
      </c>
      <c r="F11" s="26">
        <v>45626</v>
      </c>
      <c r="G11">
        <v>705</v>
      </c>
      <c r="H11">
        <v>0</v>
      </c>
      <c r="I11">
        <v>705</v>
      </c>
      <c r="J11" s="27">
        <v>0</v>
      </c>
      <c r="K11" s="27">
        <v>1</v>
      </c>
      <c r="L11" t="s">
        <v>444</v>
      </c>
      <c r="M11" s="32">
        <v>18.750708360000001</v>
      </c>
      <c r="N11" s="27">
        <v>0.89747455200000004</v>
      </c>
      <c r="O11" s="133">
        <v>606</v>
      </c>
      <c r="P11" s="32">
        <v>2.9988763949999999</v>
      </c>
      <c r="Q11">
        <v>0.89341249899999997</v>
      </c>
      <c r="R11">
        <v>602</v>
      </c>
      <c r="S11">
        <v>9.5041339310000001</v>
      </c>
      <c r="T11">
        <v>0.89341249899999997</v>
      </c>
      <c r="U11">
        <v>602</v>
      </c>
      <c r="V11">
        <v>6.2537277360000001</v>
      </c>
      <c r="W11">
        <v>0.89341249899999997</v>
      </c>
      <c r="X11">
        <v>602</v>
      </c>
      <c r="Y11">
        <v>0</v>
      </c>
      <c r="Z11"/>
      <c r="AA11"/>
      <c r="AB11">
        <v>0</v>
      </c>
      <c r="AC11"/>
      <c r="AD11"/>
      <c r="AE11">
        <v>0.2018451597</v>
      </c>
      <c r="AF11">
        <v>0.17002429699999999</v>
      </c>
      <c r="AG11">
        <v>120</v>
      </c>
      <c r="AH11">
        <v>0.49784067399999998</v>
      </c>
      <c r="AI11">
        <v>6.8338610999999994E-2</v>
      </c>
      <c r="AJ11">
        <v>40</v>
      </c>
      <c r="AK11">
        <v>0</v>
      </c>
      <c r="AL11"/>
      <c r="AM11"/>
      <c r="AN11">
        <v>0</v>
      </c>
      <c r="AO11"/>
      <c r="AP11"/>
      <c r="AQ11">
        <v>0</v>
      </c>
      <c r="AR11"/>
      <c r="AS11"/>
      <c r="AT11">
        <v>5.1116504E-2</v>
      </c>
      <c r="AU11">
        <v>0.489787994</v>
      </c>
      <c r="AV11">
        <v>0.45909550300000002</v>
      </c>
      <c r="AW11">
        <v>0</v>
      </c>
      <c r="AX11">
        <v>0</v>
      </c>
      <c r="AY11">
        <v>0</v>
      </c>
      <c r="AZ11"/>
      <c r="BA11"/>
      <c r="BB11"/>
      <c r="BC11"/>
      <c r="BD11"/>
      <c r="BE11"/>
      <c r="BF11"/>
      <c r="BG11"/>
      <c r="BH11"/>
      <c r="BI11"/>
      <c r="BJ11"/>
      <c r="BK11"/>
      <c r="BL11">
        <v>0.379364117</v>
      </c>
      <c r="BM11">
        <v>1</v>
      </c>
      <c r="BN11">
        <v>705</v>
      </c>
      <c r="BO11">
        <v>30.748375759999998</v>
      </c>
      <c r="BP11">
        <v>0.76306213099999998</v>
      </c>
      <c r="BQ11">
        <v>501</v>
      </c>
      <c r="BR11">
        <v>1.3277123E-2</v>
      </c>
      <c r="BS11">
        <v>1.5578201E-2</v>
      </c>
      <c r="BT11">
        <v>1</v>
      </c>
      <c r="BU11">
        <v>705</v>
      </c>
      <c r="BV11">
        <v>5.8919942000000003E-2</v>
      </c>
      <c r="BW11">
        <v>5.8919942000000003E-2</v>
      </c>
      <c r="BX11">
        <v>48</v>
      </c>
      <c r="BY11">
        <v>0</v>
      </c>
      <c r="BZ11">
        <v>0.99999999999996603</v>
      </c>
      <c r="CA11">
        <v>705</v>
      </c>
      <c r="CB11">
        <v>0</v>
      </c>
      <c r="CC11">
        <v>0.99999999999996603</v>
      </c>
      <c r="CD11">
        <v>705</v>
      </c>
      <c r="CE11">
        <v>0</v>
      </c>
      <c r="CF11">
        <v>0.89747455199807802</v>
      </c>
      <c r="CG11">
        <v>606</v>
      </c>
      <c r="CH11">
        <v>0</v>
      </c>
      <c r="CI11">
        <v>1</v>
      </c>
      <c r="CJ11">
        <v>705</v>
      </c>
      <c r="CK11">
        <v>0</v>
      </c>
      <c r="CL11"/>
      <c r="CM11"/>
      <c r="CN11">
        <v>0.13093811299999999</v>
      </c>
      <c r="CO11">
        <v>0.89747455200000004</v>
      </c>
      <c r="CP11">
        <v>606</v>
      </c>
      <c r="CQ11">
        <v>1</v>
      </c>
      <c r="CR11">
        <v>0.89747455200000004</v>
      </c>
      <c r="CS11">
        <v>606</v>
      </c>
      <c r="CT11">
        <v>40385355</v>
      </c>
      <c r="CU11">
        <v>0.89747455200000004</v>
      </c>
      <c r="CV11">
        <v>606</v>
      </c>
      <c r="CW11">
        <v>0.56524945599999998</v>
      </c>
      <c r="CX11">
        <v>0.76126865099999996</v>
      </c>
      <c r="CY11">
        <v>500</v>
      </c>
      <c r="CZ11">
        <v>34927.599999999999</v>
      </c>
      <c r="DA11">
        <v>0.76306213099999998</v>
      </c>
      <c r="DB11">
        <v>501</v>
      </c>
      <c r="DC11">
        <v>0</v>
      </c>
      <c r="DD11"/>
      <c r="DE11"/>
      <c r="DF11" s="171" t="s">
        <v>181</v>
      </c>
      <c r="DG11" s="171" t="s">
        <v>445</v>
      </c>
    </row>
    <row r="12" spans="1:115" x14ac:dyDescent="0.35">
      <c r="B12" s="171" t="str">
        <f t="shared" si="0"/>
        <v>iBoxx GBP Corporates SRI Screened45596</v>
      </c>
      <c r="C12">
        <v>68</v>
      </c>
      <c r="D12" t="s">
        <v>449</v>
      </c>
      <c r="E12" t="s">
        <v>182</v>
      </c>
      <c r="F12" s="26">
        <v>45596</v>
      </c>
      <c r="G12">
        <v>772</v>
      </c>
      <c r="H12">
        <v>0</v>
      </c>
      <c r="I12">
        <v>772</v>
      </c>
      <c r="J12" s="27">
        <v>0</v>
      </c>
      <c r="K12" s="27">
        <v>1</v>
      </c>
      <c r="L12" t="s">
        <v>444</v>
      </c>
      <c r="M12" s="32">
        <v>19.59939709</v>
      </c>
      <c r="N12" s="27">
        <v>0.87901837199999999</v>
      </c>
      <c r="O12" s="133">
        <v>642</v>
      </c>
      <c r="P12" s="32">
        <v>3.5244942629999998</v>
      </c>
      <c r="Q12">
        <v>0.87190961600000005</v>
      </c>
      <c r="R12">
        <v>633</v>
      </c>
      <c r="S12">
        <v>9.6668897949999995</v>
      </c>
      <c r="T12">
        <v>0.87190961600000005</v>
      </c>
      <c r="U12">
        <v>633</v>
      </c>
      <c r="V12">
        <v>6.2784199870000004</v>
      </c>
      <c r="W12">
        <v>0.87190961600000005</v>
      </c>
      <c r="X12">
        <v>633</v>
      </c>
      <c r="Y12">
        <v>0</v>
      </c>
      <c r="Z12"/>
      <c r="AA12"/>
      <c r="AB12">
        <v>0</v>
      </c>
      <c r="AC12"/>
      <c r="AD12"/>
      <c r="AE12">
        <v>0.20545931349999999</v>
      </c>
      <c r="AF12">
        <v>0.16336318399999999</v>
      </c>
      <c r="AG12">
        <v>124</v>
      </c>
      <c r="AH12">
        <v>0.47041970100000002</v>
      </c>
      <c r="AI12">
        <v>8.4598297000000003E-2</v>
      </c>
      <c r="AJ12">
        <v>54</v>
      </c>
      <c r="AK12">
        <v>0</v>
      </c>
      <c r="AL12"/>
      <c r="AM12"/>
      <c r="AN12">
        <v>0</v>
      </c>
      <c r="AO12"/>
      <c r="AP12"/>
      <c r="AQ12">
        <v>0</v>
      </c>
      <c r="AR12"/>
      <c r="AS12"/>
      <c r="AT12">
        <v>5.2427761000000003E-2</v>
      </c>
      <c r="AU12">
        <v>0.42520999999999998</v>
      </c>
      <c r="AV12">
        <v>0.46061692799999998</v>
      </c>
      <c r="AW12">
        <v>5.8418125000000001E-2</v>
      </c>
      <c r="AX12">
        <v>3.3271860000000002E-3</v>
      </c>
      <c r="AY12">
        <v>0</v>
      </c>
      <c r="AZ12"/>
      <c r="BA12"/>
      <c r="BB12"/>
      <c r="BC12"/>
      <c r="BD12"/>
      <c r="BE12"/>
      <c r="BF12"/>
      <c r="BG12"/>
      <c r="BH12"/>
      <c r="BI12"/>
      <c r="BJ12"/>
      <c r="BK12"/>
      <c r="BL12">
        <v>0.41130761199999999</v>
      </c>
      <c r="BM12">
        <v>1</v>
      </c>
      <c r="BN12">
        <v>772</v>
      </c>
      <c r="BO12">
        <v>37.352943379999999</v>
      </c>
      <c r="BP12">
        <v>0.75123844299999998</v>
      </c>
      <c r="BQ12">
        <v>533</v>
      </c>
      <c r="BR12">
        <v>1.2360543E-2</v>
      </c>
      <c r="BS12">
        <v>3.2789451999999997E-2</v>
      </c>
      <c r="BT12">
        <v>1</v>
      </c>
      <c r="BU12">
        <v>772</v>
      </c>
      <c r="BV12">
        <v>6.1424905000000002E-2</v>
      </c>
      <c r="BW12">
        <v>6.1424905000000002E-2</v>
      </c>
      <c r="BX12">
        <v>55</v>
      </c>
      <c r="BY12">
        <v>0</v>
      </c>
      <c r="BZ12">
        <v>0.99999999999996303</v>
      </c>
      <c r="CA12">
        <v>772</v>
      </c>
      <c r="CB12">
        <v>0</v>
      </c>
      <c r="CC12">
        <v>0.99999999999996303</v>
      </c>
      <c r="CD12">
        <v>772</v>
      </c>
      <c r="CE12">
        <v>0</v>
      </c>
      <c r="CF12">
        <v>0.87901837237230096</v>
      </c>
      <c r="CG12">
        <v>642</v>
      </c>
      <c r="CH12">
        <v>0</v>
      </c>
      <c r="CI12">
        <v>1</v>
      </c>
      <c r="CJ12">
        <v>772</v>
      </c>
      <c r="CK12">
        <v>0</v>
      </c>
      <c r="CL12"/>
      <c r="CM12"/>
      <c r="CN12">
        <v>0.13537463399999999</v>
      </c>
      <c r="CO12">
        <v>0.87901837199999999</v>
      </c>
      <c r="CP12">
        <v>642</v>
      </c>
      <c r="CQ12">
        <v>3</v>
      </c>
      <c r="CR12">
        <v>0.87901837199999999</v>
      </c>
      <c r="CS12">
        <v>642</v>
      </c>
      <c r="CT12">
        <v>54247605</v>
      </c>
      <c r="CU12">
        <v>0.87901837199999999</v>
      </c>
      <c r="CV12">
        <v>642</v>
      </c>
      <c r="CW12">
        <v>0.55503872700000001</v>
      </c>
      <c r="CX12">
        <v>0.74955872300000004</v>
      </c>
      <c r="CY12">
        <v>532</v>
      </c>
      <c r="CZ12">
        <v>36803.699999999997</v>
      </c>
      <c r="DA12">
        <v>0.75123844299999998</v>
      </c>
      <c r="DB12">
        <v>533</v>
      </c>
      <c r="DC12">
        <v>0</v>
      </c>
      <c r="DD12"/>
      <c r="DE12"/>
      <c r="DF12" s="171" t="s">
        <v>183</v>
      </c>
      <c r="DG12" s="171" t="s">
        <v>445</v>
      </c>
    </row>
    <row r="13" spans="1:115" x14ac:dyDescent="0.35">
      <c r="B13" s="171" t="str">
        <f t="shared" si="0"/>
        <v>iBoxx GBP Corporates SRI Screened45626</v>
      </c>
      <c r="C13">
        <v>69</v>
      </c>
      <c r="D13" t="s">
        <v>449</v>
      </c>
      <c r="E13" t="s">
        <v>182</v>
      </c>
      <c r="F13" s="26">
        <v>45626</v>
      </c>
      <c r="G13">
        <v>776</v>
      </c>
      <c r="H13">
        <v>0</v>
      </c>
      <c r="I13">
        <v>776</v>
      </c>
      <c r="J13" s="27">
        <v>0</v>
      </c>
      <c r="K13" s="27">
        <v>1</v>
      </c>
      <c r="L13" t="s">
        <v>444</v>
      </c>
      <c r="M13" s="32">
        <v>19.557088530000001</v>
      </c>
      <c r="N13" s="27">
        <v>0.87521057999999996</v>
      </c>
      <c r="O13" s="133">
        <v>643</v>
      </c>
      <c r="P13" s="32">
        <v>3.560951819</v>
      </c>
      <c r="Q13">
        <v>0.86811063600000005</v>
      </c>
      <c r="R13">
        <v>634</v>
      </c>
      <c r="S13">
        <v>9.6183785989999997</v>
      </c>
      <c r="T13">
        <v>0.86811063600000005</v>
      </c>
      <c r="U13">
        <v>634</v>
      </c>
      <c r="V13">
        <v>6.2473054000000001</v>
      </c>
      <c r="W13">
        <v>0.86811063600000005</v>
      </c>
      <c r="X13">
        <v>634</v>
      </c>
      <c r="Y13">
        <v>0</v>
      </c>
      <c r="Z13"/>
      <c r="AA13"/>
      <c r="AB13">
        <v>0</v>
      </c>
      <c r="AC13"/>
      <c r="AD13"/>
      <c r="AE13">
        <v>0.2025486937</v>
      </c>
      <c r="AF13">
        <v>0.15896464799999999</v>
      </c>
      <c r="AG13">
        <v>121</v>
      </c>
      <c r="AH13">
        <v>0.459776411</v>
      </c>
      <c r="AI13">
        <v>8.7311945000000002E-2</v>
      </c>
      <c r="AJ13">
        <v>56</v>
      </c>
      <c r="AK13">
        <v>0</v>
      </c>
      <c r="AL13"/>
      <c r="AM13"/>
      <c r="AN13">
        <v>0</v>
      </c>
      <c r="AO13"/>
      <c r="AP13"/>
      <c r="AQ13">
        <v>0</v>
      </c>
      <c r="AR13"/>
      <c r="AS13"/>
      <c r="AT13">
        <v>4.7496967000000001E-2</v>
      </c>
      <c r="AU13">
        <v>0.45510632299999998</v>
      </c>
      <c r="AV13">
        <v>0.42658715400000002</v>
      </c>
      <c r="AW13">
        <v>6.2781623999999994E-2</v>
      </c>
      <c r="AX13">
        <v>3.3255229999999999E-3</v>
      </c>
      <c r="AY13">
        <v>4.7024099999999997E-3</v>
      </c>
      <c r="AZ13"/>
      <c r="BA13"/>
      <c r="BB13"/>
      <c r="BC13"/>
      <c r="BD13"/>
      <c r="BE13"/>
      <c r="BF13"/>
      <c r="BG13"/>
      <c r="BH13"/>
      <c r="BI13"/>
      <c r="BJ13"/>
      <c r="BK13"/>
      <c r="BL13">
        <v>0.414522838</v>
      </c>
      <c r="BM13">
        <v>1</v>
      </c>
      <c r="BN13">
        <v>776</v>
      </c>
      <c r="BO13">
        <v>37.915083240000001</v>
      </c>
      <c r="BP13">
        <v>0.74787343500000003</v>
      </c>
      <c r="BQ13">
        <v>534</v>
      </c>
      <c r="BR13">
        <v>1.2336975999999999E-2</v>
      </c>
      <c r="BS13">
        <v>3.3812988000000002E-2</v>
      </c>
      <c r="BT13">
        <v>1</v>
      </c>
      <c r="BU13">
        <v>776</v>
      </c>
      <c r="BV13">
        <v>6.1227260999999998E-2</v>
      </c>
      <c r="BW13">
        <v>6.1227260999999998E-2</v>
      </c>
      <c r="BX13">
        <v>55</v>
      </c>
      <c r="BY13">
        <v>0</v>
      </c>
      <c r="BZ13">
        <v>0.99999999999996403</v>
      </c>
      <c r="CA13">
        <v>776</v>
      </c>
      <c r="CB13">
        <v>0</v>
      </c>
      <c r="CC13">
        <v>0.99999999999996403</v>
      </c>
      <c r="CD13">
        <v>776</v>
      </c>
      <c r="CE13">
        <v>0</v>
      </c>
      <c r="CF13">
        <v>0.87521057967034599</v>
      </c>
      <c r="CG13">
        <v>643</v>
      </c>
      <c r="CH13">
        <v>0</v>
      </c>
      <c r="CI13">
        <v>1</v>
      </c>
      <c r="CJ13">
        <v>776</v>
      </c>
      <c r="CK13">
        <v>0</v>
      </c>
      <c r="CL13"/>
      <c r="CM13"/>
      <c r="CN13">
        <v>0.134296425</v>
      </c>
      <c r="CO13">
        <v>0.87521057999999996</v>
      </c>
      <c r="CP13">
        <v>643</v>
      </c>
      <c r="CQ13">
        <v>3</v>
      </c>
      <c r="CR13">
        <v>0.87521057999999996</v>
      </c>
      <c r="CS13">
        <v>643</v>
      </c>
      <c r="CT13">
        <v>54247605</v>
      </c>
      <c r="CU13">
        <v>0.87521057999999996</v>
      </c>
      <c r="CV13">
        <v>643</v>
      </c>
      <c r="CW13">
        <v>0.55300766700000004</v>
      </c>
      <c r="CX13">
        <v>0.74620695100000001</v>
      </c>
      <c r="CY13">
        <v>533</v>
      </c>
      <c r="CZ13">
        <v>36894.5</v>
      </c>
      <c r="DA13">
        <v>0.74787343500000003</v>
      </c>
      <c r="DB13">
        <v>534</v>
      </c>
      <c r="DC13">
        <v>0</v>
      </c>
      <c r="DD13"/>
      <c r="DE13"/>
      <c r="DF13" s="171" t="s">
        <v>183</v>
      </c>
      <c r="DG13" s="171" t="s">
        <v>445</v>
      </c>
    </row>
    <row r="14" spans="1:115" x14ac:dyDescent="0.35">
      <c r="B14" s="171" t="str">
        <f t="shared" si="0"/>
        <v>iBoxx GBP Non-Gilts Investment Grade &amp; Fallen Angels FWPL45596</v>
      </c>
      <c r="C14">
        <v>427</v>
      </c>
      <c r="D14" t="s">
        <v>450</v>
      </c>
      <c r="E14" t="s">
        <v>184</v>
      </c>
      <c r="F14" s="26">
        <v>45596</v>
      </c>
      <c r="G14">
        <v>1253</v>
      </c>
      <c r="H14">
        <v>6</v>
      </c>
      <c r="I14">
        <v>1247</v>
      </c>
      <c r="J14" s="27">
        <v>5.2132860000000001E-3</v>
      </c>
      <c r="K14" s="27">
        <v>0.99478671399999996</v>
      </c>
      <c r="L14" t="s">
        <v>451</v>
      </c>
      <c r="M14" s="32">
        <v>17.029858959999999</v>
      </c>
      <c r="N14" s="27">
        <v>0.79235170200000005</v>
      </c>
      <c r="O14" s="133">
        <v>888</v>
      </c>
      <c r="P14" s="32">
        <v>3.5142240239999998</v>
      </c>
      <c r="Q14">
        <v>0.76948851699999998</v>
      </c>
      <c r="R14">
        <v>861</v>
      </c>
      <c r="S14">
        <v>8.5887731180000007</v>
      </c>
      <c r="T14">
        <v>0.76948851699999998</v>
      </c>
      <c r="U14">
        <v>861</v>
      </c>
      <c r="V14">
        <v>6.0494547489999997</v>
      </c>
      <c r="W14">
        <v>0.76948851699999998</v>
      </c>
      <c r="X14">
        <v>861</v>
      </c>
      <c r="Y14">
        <v>54.639870889999997</v>
      </c>
      <c r="Z14">
        <v>7.7053089999999996E-3</v>
      </c>
      <c r="AA14">
        <v>7</v>
      </c>
      <c r="AB14">
        <v>61.240715399999999</v>
      </c>
      <c r="AC14">
        <v>8.8548410000000004E-3</v>
      </c>
      <c r="AD14">
        <v>9</v>
      </c>
      <c r="AE14">
        <v>0.20004059760000001</v>
      </c>
      <c r="AF14">
        <v>0.117745297</v>
      </c>
      <c r="AG14">
        <v>152</v>
      </c>
      <c r="AH14">
        <v>1.0460431130000001</v>
      </c>
      <c r="AI14">
        <v>7.4300153999999993E-2</v>
      </c>
      <c r="AJ14">
        <v>77</v>
      </c>
      <c r="AK14">
        <v>54.701809990000001</v>
      </c>
      <c r="AL14">
        <v>8.8548410000000004E-3</v>
      </c>
      <c r="AM14">
        <v>9</v>
      </c>
      <c r="AN14">
        <v>58.856709270000003</v>
      </c>
      <c r="AO14">
        <v>8.8548410000000004E-3</v>
      </c>
      <c r="AP14">
        <v>9</v>
      </c>
      <c r="AQ14">
        <v>323.49508600000001</v>
      </c>
      <c r="AR14">
        <v>8.8548410000000004E-3</v>
      </c>
      <c r="AS14">
        <v>9</v>
      </c>
      <c r="AT14">
        <v>0.193498329</v>
      </c>
      <c r="AU14">
        <v>0.37359111099999998</v>
      </c>
      <c r="AV14">
        <v>0.32887931999999998</v>
      </c>
      <c r="AW14">
        <v>4.9382310999999998E-2</v>
      </c>
      <c r="AX14">
        <v>1.9392280000000001E-3</v>
      </c>
      <c r="AY14">
        <v>5.2709700999999998E-2</v>
      </c>
      <c r="AZ14">
        <v>0</v>
      </c>
      <c r="BA14">
        <v>8.8548410000000004E-3</v>
      </c>
      <c r="BB14">
        <v>9</v>
      </c>
      <c r="BC14">
        <v>0</v>
      </c>
      <c r="BD14">
        <v>8.8548410000000004E-3</v>
      </c>
      <c r="BE14">
        <v>9</v>
      </c>
      <c r="BF14">
        <v>0</v>
      </c>
      <c r="BG14">
        <v>8.8548410000000004E-3</v>
      </c>
      <c r="BH14">
        <v>9</v>
      </c>
      <c r="BI14">
        <v>0</v>
      </c>
      <c r="BJ14">
        <v>8.8548410000000004E-3</v>
      </c>
      <c r="BK14">
        <v>9</v>
      </c>
      <c r="BL14">
        <v>0.33180229900000002</v>
      </c>
      <c r="BM14">
        <v>0.99478671399999996</v>
      </c>
      <c r="BN14">
        <v>1247</v>
      </c>
      <c r="BO14">
        <v>35.443892079999998</v>
      </c>
      <c r="BP14">
        <v>0.485850487</v>
      </c>
      <c r="BQ14">
        <v>604</v>
      </c>
      <c r="BR14">
        <v>8.0217210000000008E-3</v>
      </c>
      <c r="BS14">
        <v>1.9965857E-2</v>
      </c>
      <c r="BT14">
        <v>0.99478671399999996</v>
      </c>
      <c r="BU14">
        <v>1247</v>
      </c>
      <c r="BV14">
        <v>4.5709206000000002E-2</v>
      </c>
      <c r="BW14">
        <v>4.5709206000000002E-2</v>
      </c>
      <c r="BX14">
        <v>65</v>
      </c>
      <c r="BY14">
        <v>2.8008347994467999E-3</v>
      </c>
      <c r="BZ14">
        <v>0.99999999999994005</v>
      </c>
      <c r="CA14">
        <v>1253</v>
      </c>
      <c r="CB14">
        <v>5.1749680047976001E-3</v>
      </c>
      <c r="CC14">
        <v>0.99999999999994005</v>
      </c>
      <c r="CD14">
        <v>1253</v>
      </c>
      <c r="CE14">
        <v>0</v>
      </c>
      <c r="CF14">
        <v>0.78349686038595301</v>
      </c>
      <c r="CG14">
        <v>879</v>
      </c>
      <c r="CH14">
        <v>0</v>
      </c>
      <c r="CI14">
        <v>1</v>
      </c>
      <c r="CJ14">
        <v>1253</v>
      </c>
      <c r="CK14">
        <v>57.40448988</v>
      </c>
      <c r="CL14">
        <v>8.8548410000000004E-3</v>
      </c>
      <c r="CM14">
        <v>9</v>
      </c>
      <c r="CN14">
        <v>0.18825324199999999</v>
      </c>
      <c r="CO14">
        <v>0.78349685999999996</v>
      </c>
      <c r="CP14">
        <v>879</v>
      </c>
      <c r="CQ14">
        <v>3</v>
      </c>
      <c r="CR14">
        <v>0.78349685999999996</v>
      </c>
      <c r="CS14">
        <v>879</v>
      </c>
      <c r="CT14">
        <v>728507445</v>
      </c>
      <c r="CU14">
        <v>0.78349685999999996</v>
      </c>
      <c r="CV14">
        <v>879</v>
      </c>
      <c r="CW14">
        <v>0.38003703500000002</v>
      </c>
      <c r="CX14">
        <v>0.50446828499999996</v>
      </c>
      <c r="CY14">
        <v>616</v>
      </c>
      <c r="CZ14">
        <v>42150.7</v>
      </c>
      <c r="DA14">
        <v>0.50639827599999998</v>
      </c>
      <c r="DB14">
        <v>619</v>
      </c>
      <c r="DC14">
        <v>59.77466493</v>
      </c>
      <c r="DD14">
        <v>8.8548410000000004E-3</v>
      </c>
      <c r="DE14">
        <v>9</v>
      </c>
      <c r="DF14" s="171" t="s">
        <v>185</v>
      </c>
      <c r="DG14" s="171" t="s">
        <v>445</v>
      </c>
    </row>
    <row r="15" spans="1:115" x14ac:dyDescent="0.35">
      <c r="B15" s="171" t="str">
        <f t="shared" si="0"/>
        <v>iBoxx GBP Non-Gilts Investment Grade &amp; Fallen Angels FWPL45626</v>
      </c>
      <c r="C15">
        <v>428</v>
      </c>
      <c r="D15" t="s">
        <v>450</v>
      </c>
      <c r="E15" t="s">
        <v>184</v>
      </c>
      <c r="F15" s="26">
        <v>45626</v>
      </c>
      <c r="G15">
        <v>1253</v>
      </c>
      <c r="H15">
        <v>6</v>
      </c>
      <c r="I15">
        <v>1247</v>
      </c>
      <c r="J15" s="27">
        <v>5.1889930000000003E-3</v>
      </c>
      <c r="K15" s="27">
        <v>0.99481100700000002</v>
      </c>
      <c r="L15" t="s">
        <v>451</v>
      </c>
      <c r="M15" s="32">
        <v>17.021978709999999</v>
      </c>
      <c r="N15" s="27">
        <v>0.79148859699999996</v>
      </c>
      <c r="O15" s="133">
        <v>888</v>
      </c>
      <c r="P15" s="32">
        <v>3.5428268190000001</v>
      </c>
      <c r="Q15">
        <v>0.76872229299999995</v>
      </c>
      <c r="R15">
        <v>861</v>
      </c>
      <c r="S15">
        <v>8.5698357220000005</v>
      </c>
      <c r="T15">
        <v>0.76872229299999995</v>
      </c>
      <c r="U15">
        <v>861</v>
      </c>
      <c r="V15">
        <v>6.0278431719999999</v>
      </c>
      <c r="W15">
        <v>0.76872229299999995</v>
      </c>
      <c r="X15">
        <v>861</v>
      </c>
      <c r="Y15">
        <v>55.040759510000001</v>
      </c>
      <c r="Z15">
        <v>7.6661840000000004E-3</v>
      </c>
      <c r="AA15">
        <v>7</v>
      </c>
      <c r="AB15">
        <v>61.301600890000003</v>
      </c>
      <c r="AC15">
        <v>8.8076630000000003E-3</v>
      </c>
      <c r="AD15">
        <v>9</v>
      </c>
      <c r="AE15">
        <v>0.19766355789999998</v>
      </c>
      <c r="AF15">
        <v>0.11548286100000001</v>
      </c>
      <c r="AG15">
        <v>149</v>
      </c>
      <c r="AH15">
        <v>1.04741752</v>
      </c>
      <c r="AI15">
        <v>7.7127449000000001E-2</v>
      </c>
      <c r="AJ15">
        <v>80</v>
      </c>
      <c r="AK15">
        <v>54.749906469999999</v>
      </c>
      <c r="AL15">
        <v>8.8076630000000003E-3</v>
      </c>
      <c r="AM15">
        <v>9</v>
      </c>
      <c r="AN15">
        <v>58.911156490000003</v>
      </c>
      <c r="AO15">
        <v>8.8076630000000003E-3</v>
      </c>
      <c r="AP15">
        <v>9</v>
      </c>
      <c r="AQ15">
        <v>322.39174300000002</v>
      </c>
      <c r="AR15">
        <v>8.8076630000000003E-3</v>
      </c>
      <c r="AS15">
        <v>9</v>
      </c>
      <c r="AT15">
        <v>0.18820884900000001</v>
      </c>
      <c r="AU15">
        <v>0.39862342000000001</v>
      </c>
      <c r="AV15">
        <v>0.30956236799999998</v>
      </c>
      <c r="AW15">
        <v>5.2093801000000002E-2</v>
      </c>
      <c r="AX15">
        <v>1.9460020000000001E-3</v>
      </c>
      <c r="AY15">
        <v>4.9565560000000002E-2</v>
      </c>
      <c r="AZ15">
        <v>0</v>
      </c>
      <c r="BA15">
        <v>8.8076630000000003E-3</v>
      </c>
      <c r="BB15">
        <v>9</v>
      </c>
      <c r="BC15">
        <v>0</v>
      </c>
      <c r="BD15">
        <v>8.8076630000000003E-3</v>
      </c>
      <c r="BE15">
        <v>9</v>
      </c>
      <c r="BF15">
        <v>0</v>
      </c>
      <c r="BG15">
        <v>8.8076630000000003E-3</v>
      </c>
      <c r="BH15">
        <v>9</v>
      </c>
      <c r="BI15">
        <v>0</v>
      </c>
      <c r="BJ15">
        <v>8.8076630000000003E-3</v>
      </c>
      <c r="BK15">
        <v>9</v>
      </c>
      <c r="BL15">
        <v>0.33472827300000002</v>
      </c>
      <c r="BM15">
        <v>0.99481100700000002</v>
      </c>
      <c r="BN15">
        <v>1247</v>
      </c>
      <c r="BO15">
        <v>35.916079580000002</v>
      </c>
      <c r="BP15">
        <v>0.48569980099999999</v>
      </c>
      <c r="BQ15">
        <v>605</v>
      </c>
      <c r="BR15">
        <v>8.04472E-3</v>
      </c>
      <c r="BS15">
        <v>2.0649628999999999E-2</v>
      </c>
      <c r="BT15">
        <v>0.99481100700000002</v>
      </c>
      <c r="BU15">
        <v>1247</v>
      </c>
      <c r="BV15">
        <v>4.5012580000000003E-2</v>
      </c>
      <c r="BW15">
        <v>4.5012580000000003E-2</v>
      </c>
      <c r="BX15">
        <v>64</v>
      </c>
      <c r="BY15">
        <v>2.7995607244929001E-3</v>
      </c>
      <c r="BZ15">
        <v>0.99999999999993905</v>
      </c>
      <c r="CA15">
        <v>1253</v>
      </c>
      <c r="CB15">
        <v>5.1545649536827E-3</v>
      </c>
      <c r="CC15">
        <v>0.99999999999993905</v>
      </c>
      <c r="CD15">
        <v>1253</v>
      </c>
      <c r="CE15">
        <v>0</v>
      </c>
      <c r="CF15">
        <v>0.78268093371728098</v>
      </c>
      <c r="CG15">
        <v>879</v>
      </c>
      <c r="CH15">
        <v>0</v>
      </c>
      <c r="CI15">
        <v>1</v>
      </c>
      <c r="CJ15">
        <v>1253</v>
      </c>
      <c r="CK15">
        <v>57.383015630000003</v>
      </c>
      <c r="CL15">
        <v>8.8076630000000003E-3</v>
      </c>
      <c r="CM15">
        <v>9</v>
      </c>
      <c r="CN15">
        <v>0.186582462</v>
      </c>
      <c r="CO15">
        <v>0.78268093400000005</v>
      </c>
      <c r="CP15">
        <v>879</v>
      </c>
      <c r="CQ15">
        <v>3</v>
      </c>
      <c r="CR15">
        <v>0.78268093400000005</v>
      </c>
      <c r="CS15">
        <v>879</v>
      </c>
      <c r="CT15">
        <v>728507445</v>
      </c>
      <c r="CU15">
        <v>0.78268093400000005</v>
      </c>
      <c r="CV15">
        <v>879</v>
      </c>
      <c r="CW15">
        <v>0.381448177</v>
      </c>
      <c r="CX15">
        <v>0.50586200100000001</v>
      </c>
      <c r="CY15">
        <v>619</v>
      </c>
      <c r="CZ15">
        <v>42254.2</v>
      </c>
      <c r="DA15">
        <v>0.50725856999999996</v>
      </c>
      <c r="DB15">
        <v>621</v>
      </c>
      <c r="DC15">
        <v>59.841469080000003</v>
      </c>
      <c r="DD15">
        <v>8.8076630000000003E-3</v>
      </c>
      <c r="DE15">
        <v>9</v>
      </c>
      <c r="DF15" s="171" t="s">
        <v>185</v>
      </c>
      <c r="DG15" s="171" t="s">
        <v>445</v>
      </c>
    </row>
    <row r="16" spans="1:115" x14ac:dyDescent="0.35">
      <c r="B16" s="171" t="str">
        <f t="shared" si="0"/>
        <v>iBoxx SD-KPI EUR Corporates45596</v>
      </c>
      <c r="C16">
        <v>658</v>
      </c>
      <c r="D16" t="s">
        <v>452</v>
      </c>
      <c r="E16" t="s">
        <v>249</v>
      </c>
      <c r="F16" s="26">
        <v>45596</v>
      </c>
      <c r="G16">
        <v>3928</v>
      </c>
      <c r="H16">
        <v>0</v>
      </c>
      <c r="I16">
        <v>3928</v>
      </c>
      <c r="J16" s="27">
        <v>0</v>
      </c>
      <c r="K16" s="27">
        <v>1</v>
      </c>
      <c r="L16" t="s">
        <v>444</v>
      </c>
      <c r="M16" s="32">
        <v>18.581034670000001</v>
      </c>
      <c r="N16" s="27">
        <v>0.98169561400000005</v>
      </c>
      <c r="O16" s="133">
        <v>3835</v>
      </c>
      <c r="P16" s="32">
        <v>3.8541906359999998</v>
      </c>
      <c r="Q16">
        <v>0.97930322999999997</v>
      </c>
      <c r="R16">
        <v>3823</v>
      </c>
      <c r="S16">
        <v>8.8687073729999994</v>
      </c>
      <c r="T16">
        <v>0.97930322999999997</v>
      </c>
      <c r="U16">
        <v>3823</v>
      </c>
      <c r="V16">
        <v>5.8414584390000002</v>
      </c>
      <c r="W16">
        <v>0.97930322999999997</v>
      </c>
      <c r="X16">
        <v>3823</v>
      </c>
      <c r="Y16">
        <v>0</v>
      </c>
      <c r="Z16"/>
      <c r="AA16"/>
      <c r="AB16">
        <v>0</v>
      </c>
      <c r="AC16"/>
      <c r="AD16"/>
      <c r="AE16">
        <v>0.21168153369999998</v>
      </c>
      <c r="AF16">
        <v>3.0000260000000001E-2</v>
      </c>
      <c r="AG16">
        <v>125</v>
      </c>
      <c r="AH16">
        <v>0.52035688599999996</v>
      </c>
      <c r="AI16">
        <v>0.13343878100000001</v>
      </c>
      <c r="AJ16">
        <v>532</v>
      </c>
      <c r="AK16">
        <v>0</v>
      </c>
      <c r="AL16"/>
      <c r="AM16"/>
      <c r="AN16">
        <v>0</v>
      </c>
      <c r="AO16"/>
      <c r="AP16"/>
      <c r="AQ16">
        <v>0</v>
      </c>
      <c r="AR16"/>
      <c r="AS16"/>
      <c r="AT16">
        <v>9.3702562000000003E-2</v>
      </c>
      <c r="AU16">
        <v>0.45453859099999999</v>
      </c>
      <c r="AV16">
        <v>0.40147924600000001</v>
      </c>
      <c r="AW16">
        <v>3.2934140000000001E-2</v>
      </c>
      <c r="AX16">
        <v>1.476228E-3</v>
      </c>
      <c r="AY16">
        <v>1.5869233E-2</v>
      </c>
      <c r="AZ16"/>
      <c r="BA16"/>
      <c r="BB16"/>
      <c r="BC16"/>
      <c r="BD16"/>
      <c r="BE16"/>
      <c r="BF16"/>
      <c r="BG16"/>
      <c r="BH16"/>
      <c r="BI16"/>
      <c r="BJ16"/>
      <c r="BK16"/>
      <c r="BL16">
        <v>0.454530875</v>
      </c>
      <c r="BM16">
        <v>1</v>
      </c>
      <c r="BN16">
        <v>3928</v>
      </c>
      <c r="BO16">
        <v>66.977681520000004</v>
      </c>
      <c r="BP16">
        <v>0.81107792300000003</v>
      </c>
      <c r="BQ16">
        <v>3038</v>
      </c>
      <c r="BR16">
        <v>2.1858201000000001E-2</v>
      </c>
      <c r="BS16">
        <v>5.4749945000000001E-2</v>
      </c>
      <c r="BT16">
        <v>1</v>
      </c>
      <c r="BU16">
        <v>3928</v>
      </c>
      <c r="BV16">
        <v>0.15829697100000001</v>
      </c>
      <c r="BW16">
        <v>0.15829697100000001</v>
      </c>
      <c r="BX16">
        <v>656</v>
      </c>
      <c r="BY16">
        <v>6.5117664369277999E-3</v>
      </c>
      <c r="BZ16">
        <v>0.99999999999980804</v>
      </c>
      <c r="CA16">
        <v>3928</v>
      </c>
      <c r="CB16">
        <v>9.4330595461206996E-3</v>
      </c>
      <c r="CC16">
        <v>0.99999999999980804</v>
      </c>
      <c r="CD16">
        <v>3928</v>
      </c>
      <c r="CE16">
        <v>0</v>
      </c>
      <c r="CF16">
        <v>0.98329051724739103</v>
      </c>
      <c r="CG16">
        <v>3847</v>
      </c>
      <c r="CH16">
        <v>0</v>
      </c>
      <c r="CI16">
        <v>1</v>
      </c>
      <c r="CJ16">
        <v>3928</v>
      </c>
      <c r="CK16">
        <v>0</v>
      </c>
      <c r="CL16"/>
      <c r="CM16"/>
      <c r="CN16">
        <v>0.138518159</v>
      </c>
      <c r="CO16">
        <v>0.98198294699999999</v>
      </c>
      <c r="CP16">
        <v>3838</v>
      </c>
      <c r="CQ16">
        <v>4</v>
      </c>
      <c r="CR16">
        <v>0.98329051700000003</v>
      </c>
      <c r="CS16">
        <v>3847</v>
      </c>
      <c r="CT16">
        <v>1874095944</v>
      </c>
      <c r="CU16">
        <v>0.98329051700000003</v>
      </c>
      <c r="CV16">
        <v>3847</v>
      </c>
      <c r="CW16">
        <v>0.59067239900000001</v>
      </c>
      <c r="CX16">
        <v>0.81381278700000004</v>
      </c>
      <c r="CY16">
        <v>3041</v>
      </c>
      <c r="CZ16">
        <v>196816</v>
      </c>
      <c r="DA16">
        <v>0.82021436199999997</v>
      </c>
      <c r="DB16">
        <v>3062</v>
      </c>
      <c r="DC16">
        <v>0</v>
      </c>
      <c r="DD16"/>
      <c r="DE16"/>
      <c r="DF16" s="171" t="s">
        <v>250</v>
      </c>
      <c r="DG16" s="171" t="s">
        <v>445</v>
      </c>
    </row>
    <row r="17" spans="2:111" x14ac:dyDescent="0.35">
      <c r="B17" s="171" t="str">
        <f t="shared" si="0"/>
        <v>iBoxx SD-KPI EUR Corporates45626</v>
      </c>
      <c r="C17">
        <v>659</v>
      </c>
      <c r="D17" t="s">
        <v>452</v>
      </c>
      <c r="E17" t="s">
        <v>249</v>
      </c>
      <c r="F17" s="26">
        <v>45626</v>
      </c>
      <c r="G17">
        <v>3957</v>
      </c>
      <c r="H17">
        <v>0</v>
      </c>
      <c r="I17">
        <v>3957</v>
      </c>
      <c r="J17" s="27">
        <v>0</v>
      </c>
      <c r="K17" s="27">
        <v>1</v>
      </c>
      <c r="L17" t="s">
        <v>444</v>
      </c>
      <c r="M17" s="32">
        <v>18.536863570000001</v>
      </c>
      <c r="N17" s="27">
        <v>0.97899644699999999</v>
      </c>
      <c r="O17" s="133">
        <v>3852</v>
      </c>
      <c r="P17" s="32">
        <v>3.8645408020000001</v>
      </c>
      <c r="Q17">
        <v>0.97646203600000003</v>
      </c>
      <c r="R17">
        <v>3839</v>
      </c>
      <c r="S17">
        <v>8.8378598349999997</v>
      </c>
      <c r="T17">
        <v>0.97646203600000003</v>
      </c>
      <c r="U17">
        <v>3839</v>
      </c>
      <c r="V17">
        <v>5.8185094639999999</v>
      </c>
      <c r="W17">
        <v>0.97646203600000003</v>
      </c>
      <c r="X17">
        <v>3839</v>
      </c>
      <c r="Y17">
        <v>0</v>
      </c>
      <c r="Z17"/>
      <c r="AA17"/>
      <c r="AB17">
        <v>0</v>
      </c>
      <c r="AC17"/>
      <c r="AD17"/>
      <c r="AE17">
        <v>0.21613012149999999</v>
      </c>
      <c r="AF17">
        <v>2.9825602E-2</v>
      </c>
      <c r="AG17">
        <v>126</v>
      </c>
      <c r="AH17">
        <v>0.51882549600000005</v>
      </c>
      <c r="AI17">
        <v>0.13215117000000001</v>
      </c>
      <c r="AJ17">
        <v>534</v>
      </c>
      <c r="AK17">
        <v>0</v>
      </c>
      <c r="AL17"/>
      <c r="AM17"/>
      <c r="AN17">
        <v>0</v>
      </c>
      <c r="AO17"/>
      <c r="AP17"/>
      <c r="AQ17">
        <v>0</v>
      </c>
      <c r="AR17"/>
      <c r="AS17"/>
      <c r="AT17">
        <v>9.0498993999999999E-2</v>
      </c>
      <c r="AU17">
        <v>0.46293168200000001</v>
      </c>
      <c r="AV17">
        <v>0.39419354400000001</v>
      </c>
      <c r="AW17">
        <v>3.2601341999999998E-2</v>
      </c>
      <c r="AX17">
        <v>1.1232550000000001E-3</v>
      </c>
      <c r="AY17">
        <v>1.8651184000000001E-2</v>
      </c>
      <c r="AZ17"/>
      <c r="BA17"/>
      <c r="BB17"/>
      <c r="BC17"/>
      <c r="BD17"/>
      <c r="BE17"/>
      <c r="BF17"/>
      <c r="BG17"/>
      <c r="BH17"/>
      <c r="BI17"/>
      <c r="BJ17"/>
      <c r="BK17"/>
      <c r="BL17">
        <v>0.45723857699999998</v>
      </c>
      <c r="BM17">
        <v>1</v>
      </c>
      <c r="BN17">
        <v>3957</v>
      </c>
      <c r="BO17">
        <v>66.945448049999996</v>
      </c>
      <c r="BP17">
        <v>0.81163843400000002</v>
      </c>
      <c r="BQ17">
        <v>3052</v>
      </c>
      <c r="BR17">
        <v>2.2125117999999999E-2</v>
      </c>
      <c r="BS17">
        <v>5.4387955000000002E-2</v>
      </c>
      <c r="BT17">
        <v>1</v>
      </c>
      <c r="BU17">
        <v>3957</v>
      </c>
      <c r="BV17">
        <v>0.16088485399999999</v>
      </c>
      <c r="BW17">
        <v>0.16088485399999999</v>
      </c>
      <c r="BX17">
        <v>673</v>
      </c>
      <c r="BY17">
        <v>6.4750070102732003E-3</v>
      </c>
      <c r="BZ17">
        <v>0.99999999999980405</v>
      </c>
      <c r="CA17">
        <v>3957</v>
      </c>
      <c r="CB17">
        <v>9.3916706006668994E-3</v>
      </c>
      <c r="CC17">
        <v>0.99999999999980405</v>
      </c>
      <c r="CD17">
        <v>3957</v>
      </c>
      <c r="CE17">
        <v>0</v>
      </c>
      <c r="CF17">
        <v>0.98058543083521899</v>
      </c>
      <c r="CG17">
        <v>3864</v>
      </c>
      <c r="CH17">
        <v>0</v>
      </c>
      <c r="CI17">
        <v>1</v>
      </c>
      <c r="CJ17">
        <v>3957</v>
      </c>
      <c r="CK17">
        <v>0</v>
      </c>
      <c r="CL17"/>
      <c r="CM17"/>
      <c r="CN17">
        <v>0.13766531900000001</v>
      </c>
      <c r="CO17">
        <v>0.97928215200000002</v>
      </c>
      <c r="CP17">
        <v>3855</v>
      </c>
      <c r="CQ17">
        <v>4</v>
      </c>
      <c r="CR17">
        <v>0.98058543099999995</v>
      </c>
      <c r="CS17">
        <v>3864</v>
      </c>
      <c r="CT17">
        <v>1874095944</v>
      </c>
      <c r="CU17">
        <v>0.98058543099999995</v>
      </c>
      <c r="CV17">
        <v>3864</v>
      </c>
      <c r="CW17">
        <v>0.59174969700000002</v>
      </c>
      <c r="CX17">
        <v>0.81409200000000004</v>
      </c>
      <c r="CY17">
        <v>3054</v>
      </c>
      <c r="CZ17">
        <v>197677.6</v>
      </c>
      <c r="DA17">
        <v>0.82039701700000001</v>
      </c>
      <c r="DB17">
        <v>3075</v>
      </c>
      <c r="DC17">
        <v>0</v>
      </c>
      <c r="DD17"/>
      <c r="DE17"/>
      <c r="DF17" s="171" t="s">
        <v>250</v>
      </c>
      <c r="DG17" s="171" t="s">
        <v>445</v>
      </c>
    </row>
    <row r="18" spans="2:111" x14ac:dyDescent="0.35">
      <c r="B18" s="171" t="str">
        <f t="shared" si="0"/>
        <v>iBoxx SD-KPI EUR Liquid Corporates45596</v>
      </c>
      <c r="C18">
        <v>660</v>
      </c>
      <c r="D18" t="s">
        <v>453</v>
      </c>
      <c r="E18" t="s">
        <v>251</v>
      </c>
      <c r="F18" s="26">
        <v>45596</v>
      </c>
      <c r="G18">
        <v>40</v>
      </c>
      <c r="H18">
        <v>0</v>
      </c>
      <c r="I18">
        <v>40</v>
      </c>
      <c r="J18" s="27">
        <v>0</v>
      </c>
      <c r="K18" s="27">
        <v>1</v>
      </c>
      <c r="L18" t="s">
        <v>444</v>
      </c>
      <c r="M18" s="32">
        <v>20.1699123</v>
      </c>
      <c r="N18" s="27">
        <v>0.99657712200000004</v>
      </c>
      <c r="O18" s="133">
        <v>40</v>
      </c>
      <c r="P18" s="32">
        <v>3.3049318759999999</v>
      </c>
      <c r="Q18">
        <v>0.99657712200000004</v>
      </c>
      <c r="R18">
        <v>40</v>
      </c>
      <c r="S18">
        <v>10.06588178</v>
      </c>
      <c r="T18">
        <v>0.99657712200000004</v>
      </c>
      <c r="U18">
        <v>40</v>
      </c>
      <c r="V18">
        <v>6.7990986480000002</v>
      </c>
      <c r="W18">
        <v>0.99657712200000004</v>
      </c>
      <c r="X18">
        <v>40</v>
      </c>
      <c r="Y18">
        <v>0</v>
      </c>
      <c r="Z18"/>
      <c r="AA18"/>
      <c r="AB18">
        <v>0</v>
      </c>
      <c r="AC18"/>
      <c r="AD18"/>
      <c r="AE18">
        <v>0.17961800459999999</v>
      </c>
      <c r="AF18">
        <v>0.109727439</v>
      </c>
      <c r="AG18">
        <v>4</v>
      </c>
      <c r="AH18">
        <v>0.288574214</v>
      </c>
      <c r="AI18">
        <v>0.14152846999999999</v>
      </c>
      <c r="AJ18">
        <v>4</v>
      </c>
      <c r="AK18">
        <v>0</v>
      </c>
      <c r="AL18"/>
      <c r="AM18"/>
      <c r="AN18">
        <v>0</v>
      </c>
      <c r="AO18"/>
      <c r="AP18"/>
      <c r="AQ18">
        <v>0</v>
      </c>
      <c r="AR18"/>
      <c r="AS18"/>
      <c r="AT18">
        <v>5.9052083999999998E-2</v>
      </c>
      <c r="AU18">
        <v>0.32812438700000002</v>
      </c>
      <c r="AV18">
        <v>0.58930207700000004</v>
      </c>
      <c r="AW18">
        <v>2.0098574000000001E-2</v>
      </c>
      <c r="AX18">
        <v>0</v>
      </c>
      <c r="AY18">
        <v>0</v>
      </c>
      <c r="AZ18"/>
      <c r="BA18"/>
      <c r="BB18"/>
      <c r="BC18"/>
      <c r="BD18"/>
      <c r="BE18"/>
      <c r="BF18"/>
      <c r="BG18"/>
      <c r="BH18"/>
      <c r="BI18"/>
      <c r="BJ18"/>
      <c r="BK18"/>
      <c r="BL18">
        <v>0.42175568800000002</v>
      </c>
      <c r="BM18">
        <v>0.99657712200000004</v>
      </c>
      <c r="BN18">
        <v>40</v>
      </c>
      <c r="BO18">
        <v>85.914630579999994</v>
      </c>
      <c r="BP18">
        <v>0.91276344600000003</v>
      </c>
      <c r="BQ18">
        <v>36</v>
      </c>
      <c r="BR18" s="28">
        <v>0</v>
      </c>
      <c r="BS18">
        <v>0</v>
      </c>
      <c r="BT18">
        <v>0.99657712200000004</v>
      </c>
      <c r="BU18">
        <v>40</v>
      </c>
      <c r="BV18">
        <v>8.881087E-2</v>
      </c>
      <c r="BW18">
        <v>8.881087E-2</v>
      </c>
      <c r="BX18">
        <v>4</v>
      </c>
      <c r="BY18">
        <v>0</v>
      </c>
      <c r="BZ18">
        <v>0.99657712215210503</v>
      </c>
      <c r="CA18">
        <v>40</v>
      </c>
      <c r="CB18">
        <v>0</v>
      </c>
      <c r="CC18">
        <v>0.99657712215210503</v>
      </c>
      <c r="CD18">
        <v>40</v>
      </c>
      <c r="CE18">
        <v>0</v>
      </c>
      <c r="CF18">
        <v>0.99657712215210503</v>
      </c>
      <c r="CG18">
        <v>40</v>
      </c>
      <c r="CH18">
        <v>0</v>
      </c>
      <c r="CI18">
        <v>0.99657712200000004</v>
      </c>
      <c r="CJ18">
        <v>40</v>
      </c>
      <c r="CK18">
        <v>0</v>
      </c>
      <c r="CL18"/>
      <c r="CM18"/>
      <c r="CN18">
        <v>7.2497453000000003E-2</v>
      </c>
      <c r="CO18">
        <v>0.99657712200000004</v>
      </c>
      <c r="CP18">
        <v>40</v>
      </c>
      <c r="CQ18">
        <v>1</v>
      </c>
      <c r="CR18">
        <v>0.99657712200000004</v>
      </c>
      <c r="CS18">
        <v>40</v>
      </c>
      <c r="CT18">
        <v>40590516.299999997</v>
      </c>
      <c r="CU18">
        <v>0.99657712200000004</v>
      </c>
      <c r="CV18">
        <v>40</v>
      </c>
      <c r="CW18">
        <v>0.62301830300000005</v>
      </c>
      <c r="CX18">
        <v>0.88438412099999997</v>
      </c>
      <c r="CY18">
        <v>35</v>
      </c>
      <c r="CZ18">
        <v>2326.8000000000002</v>
      </c>
      <c r="DA18">
        <v>0.91276344600000003</v>
      </c>
      <c r="DB18">
        <v>36</v>
      </c>
      <c r="DC18">
        <v>0</v>
      </c>
      <c r="DD18"/>
      <c r="DE18"/>
      <c r="DF18" s="171" t="s">
        <v>252</v>
      </c>
      <c r="DG18" s="171" t="s">
        <v>445</v>
      </c>
    </row>
    <row r="19" spans="2:111" x14ac:dyDescent="0.35">
      <c r="B19" s="171" t="str">
        <f t="shared" si="0"/>
        <v>iBoxx SD-KPI EUR Liquid Corporates45626</v>
      </c>
      <c r="C19">
        <v>715</v>
      </c>
      <c r="D19" t="s">
        <v>453</v>
      </c>
      <c r="E19" t="s">
        <v>251</v>
      </c>
      <c r="F19" s="26">
        <v>45626</v>
      </c>
      <c r="G19">
        <v>40</v>
      </c>
      <c r="H19">
        <v>0</v>
      </c>
      <c r="I19">
        <v>40</v>
      </c>
      <c r="J19" s="27">
        <v>0</v>
      </c>
      <c r="K19" s="27">
        <v>1</v>
      </c>
      <c r="L19" t="s">
        <v>444</v>
      </c>
      <c r="M19" s="32">
        <v>20.63871396</v>
      </c>
      <c r="N19" s="27">
        <v>1</v>
      </c>
      <c r="O19" s="133">
        <v>40</v>
      </c>
      <c r="P19" s="32">
        <v>3.6782617960000001</v>
      </c>
      <c r="Q19">
        <v>1</v>
      </c>
      <c r="R19">
        <v>40</v>
      </c>
      <c r="S19">
        <v>10.136569120000001</v>
      </c>
      <c r="T19">
        <v>1</v>
      </c>
      <c r="U19">
        <v>40</v>
      </c>
      <c r="V19">
        <v>6.8238830400000001</v>
      </c>
      <c r="W19">
        <v>1</v>
      </c>
      <c r="X19">
        <v>40</v>
      </c>
      <c r="Y19">
        <v>0</v>
      </c>
      <c r="Z19"/>
      <c r="AA19"/>
      <c r="AB19">
        <v>0</v>
      </c>
      <c r="AC19"/>
      <c r="AD19"/>
      <c r="AE19">
        <v>0.31718181829999997</v>
      </c>
      <c r="AF19">
        <v>3.5404741000000003E-2</v>
      </c>
      <c r="AG19">
        <v>2</v>
      </c>
      <c r="AH19">
        <v>0.32266666700000002</v>
      </c>
      <c r="AI19">
        <v>9.2069554999999997E-2</v>
      </c>
      <c r="AJ19">
        <v>3</v>
      </c>
      <c r="AK19">
        <v>0</v>
      </c>
      <c r="AL19"/>
      <c r="AM19"/>
      <c r="AN19">
        <v>0</v>
      </c>
      <c r="AO19"/>
      <c r="AP19"/>
      <c r="AQ19">
        <v>0</v>
      </c>
      <c r="AR19"/>
      <c r="AS19"/>
      <c r="AT19">
        <v>3.8530241E-2</v>
      </c>
      <c r="AU19">
        <v>0.33454672000000002</v>
      </c>
      <c r="AV19">
        <v>0.60761136199999999</v>
      </c>
      <c r="AW19">
        <v>1.9311676999999999E-2</v>
      </c>
      <c r="AX19">
        <v>0</v>
      </c>
      <c r="AY19">
        <v>0</v>
      </c>
      <c r="AZ19"/>
      <c r="BA19"/>
      <c r="BB19"/>
      <c r="BC19"/>
      <c r="BD19"/>
      <c r="BE19"/>
      <c r="BF19"/>
      <c r="BG19"/>
      <c r="BH19"/>
      <c r="BI19"/>
      <c r="BJ19"/>
      <c r="BK19"/>
      <c r="BL19">
        <v>0.44193386600000001</v>
      </c>
      <c r="BM19">
        <v>1</v>
      </c>
      <c r="BN19">
        <v>40</v>
      </c>
      <c r="BO19">
        <v>89.403882589999995</v>
      </c>
      <c r="BP19">
        <v>0.915027327</v>
      </c>
      <c r="BQ19">
        <v>36</v>
      </c>
      <c r="BR19" s="28">
        <v>0</v>
      </c>
      <c r="BS19">
        <v>0</v>
      </c>
      <c r="BT19">
        <v>1</v>
      </c>
      <c r="BU19">
        <v>40</v>
      </c>
      <c r="BV19">
        <v>8.9336422999999998E-2</v>
      </c>
      <c r="BW19">
        <v>8.9336422999999998E-2</v>
      </c>
      <c r="BX19">
        <v>4</v>
      </c>
      <c r="BY19">
        <v>0</v>
      </c>
      <c r="BZ19">
        <v>0.999999999999999</v>
      </c>
      <c r="CA19">
        <v>40</v>
      </c>
      <c r="CB19">
        <v>0</v>
      </c>
      <c r="CC19">
        <v>0.999999999999999</v>
      </c>
      <c r="CD19">
        <v>40</v>
      </c>
      <c r="CE19">
        <v>0</v>
      </c>
      <c r="CF19">
        <v>0.999999999999999</v>
      </c>
      <c r="CG19">
        <v>40</v>
      </c>
      <c r="CH19">
        <v>0</v>
      </c>
      <c r="CI19">
        <v>1</v>
      </c>
      <c r="CJ19">
        <v>40</v>
      </c>
      <c r="CK19">
        <v>0</v>
      </c>
      <c r="CL19"/>
      <c r="CM19"/>
      <c r="CN19">
        <v>7.1139309999999997E-2</v>
      </c>
      <c r="CO19">
        <v>1</v>
      </c>
      <c r="CP19">
        <v>40</v>
      </c>
      <c r="CQ19">
        <v>1</v>
      </c>
      <c r="CR19">
        <v>1</v>
      </c>
      <c r="CS19">
        <v>40</v>
      </c>
      <c r="CT19">
        <v>40590516.299999997</v>
      </c>
      <c r="CU19">
        <v>1</v>
      </c>
      <c r="CV19">
        <v>40</v>
      </c>
      <c r="CW19">
        <v>0.61238515699999996</v>
      </c>
      <c r="CX19">
        <v>0.88556506899999998</v>
      </c>
      <c r="CY19">
        <v>35</v>
      </c>
      <c r="CZ19">
        <v>2265.1</v>
      </c>
      <c r="DA19">
        <v>0.915027327</v>
      </c>
      <c r="DB19">
        <v>36</v>
      </c>
      <c r="DC19">
        <v>0</v>
      </c>
      <c r="DD19"/>
      <c r="DE19"/>
      <c r="DF19" s="171" t="s">
        <v>252</v>
      </c>
      <c r="DG19" s="171" t="s">
        <v>445</v>
      </c>
    </row>
    <row r="20" spans="2:111" x14ac:dyDescent="0.35">
      <c r="B20" s="171" t="str">
        <f t="shared" si="0"/>
        <v>iBoxx EUR Sovereigns ESG Tilted45596</v>
      </c>
      <c r="C20">
        <v>1028</v>
      </c>
      <c r="D20" t="s">
        <v>454</v>
      </c>
      <c r="E20" t="s">
        <v>176</v>
      </c>
      <c r="F20" s="26">
        <v>45596</v>
      </c>
      <c r="G20">
        <v>519</v>
      </c>
      <c r="H20">
        <v>519</v>
      </c>
      <c r="I20">
        <v>0</v>
      </c>
      <c r="J20" s="27">
        <v>1</v>
      </c>
      <c r="K20" s="27">
        <v>2.3599999999999999E-14</v>
      </c>
      <c r="L20" t="s">
        <v>455</v>
      </c>
      <c r="M20" s="32">
        <v>68.166085730000006</v>
      </c>
      <c r="N20" s="27">
        <v>1</v>
      </c>
      <c r="O20" s="133">
        <v>519</v>
      </c>
      <c r="P20" s="32">
        <v>63.685064930000003</v>
      </c>
      <c r="Q20">
        <v>1</v>
      </c>
      <c r="R20">
        <v>519</v>
      </c>
      <c r="S20">
        <v>66.865434730000004</v>
      </c>
      <c r="T20">
        <v>1</v>
      </c>
      <c r="U20">
        <v>519</v>
      </c>
      <c r="V20">
        <v>70.420847670000001</v>
      </c>
      <c r="W20">
        <v>1</v>
      </c>
      <c r="X20">
        <v>519</v>
      </c>
      <c r="Y20">
        <v>63.148829999999997</v>
      </c>
      <c r="Z20">
        <v>1</v>
      </c>
      <c r="AA20">
        <v>519</v>
      </c>
      <c r="AB20">
        <v>72.816607520000005</v>
      </c>
      <c r="AC20">
        <v>1</v>
      </c>
      <c r="AD20">
        <v>519</v>
      </c>
      <c r="AE20">
        <v>0</v>
      </c>
      <c r="AF20"/>
      <c r="AG20"/>
      <c r="AH20">
        <v>0</v>
      </c>
      <c r="AI20"/>
      <c r="AJ20"/>
      <c r="AK20">
        <v>62.09673033</v>
      </c>
      <c r="AL20">
        <v>1</v>
      </c>
      <c r="AM20">
        <v>519</v>
      </c>
      <c r="AN20">
        <v>71.607674020000005</v>
      </c>
      <c r="AO20">
        <v>1</v>
      </c>
      <c r="AP20">
        <v>519</v>
      </c>
      <c r="AQ20">
        <v>193.823646</v>
      </c>
      <c r="AR20">
        <v>1</v>
      </c>
      <c r="AS20">
        <v>519</v>
      </c>
      <c r="AT20">
        <v>0</v>
      </c>
      <c r="AU20">
        <v>1</v>
      </c>
      <c r="AV20">
        <v>0</v>
      </c>
      <c r="AW20">
        <v>0</v>
      </c>
      <c r="AX20">
        <v>0</v>
      </c>
      <c r="AY20">
        <v>0</v>
      </c>
      <c r="AZ20">
        <v>0</v>
      </c>
      <c r="BA20">
        <v>1</v>
      </c>
      <c r="BB20">
        <v>519</v>
      </c>
      <c r="BC20"/>
      <c r="BD20">
        <v>1</v>
      </c>
      <c r="BE20">
        <v>519</v>
      </c>
      <c r="BF20">
        <v>0</v>
      </c>
      <c r="BG20">
        <v>1</v>
      </c>
      <c r="BH20">
        <v>519</v>
      </c>
      <c r="BI20"/>
      <c r="BJ20">
        <v>1</v>
      </c>
      <c r="BK20">
        <v>519</v>
      </c>
      <c r="BL20"/>
      <c r="BM20"/>
      <c r="BN20"/>
      <c r="BO20">
        <v>0</v>
      </c>
      <c r="BP20"/>
      <c r="BQ20"/>
      <c r="BR20"/>
      <c r="BS20"/>
      <c r="BT20"/>
      <c r="BU20"/>
      <c r="BV20">
        <v>3.1579297999999999E-2</v>
      </c>
      <c r="BW20">
        <v>3.1579297999999999E-2</v>
      </c>
      <c r="BX20">
        <v>23</v>
      </c>
      <c r="BY20">
        <v>0</v>
      </c>
      <c r="BZ20">
        <v>0.99999999999997602</v>
      </c>
      <c r="CA20">
        <v>519</v>
      </c>
      <c r="CB20">
        <v>0</v>
      </c>
      <c r="CC20">
        <v>0.99999999999997602</v>
      </c>
      <c r="CD20">
        <v>519</v>
      </c>
      <c r="CE20">
        <v>0</v>
      </c>
      <c r="CF20">
        <v>0</v>
      </c>
      <c r="CG20">
        <v>0</v>
      </c>
      <c r="CH20">
        <v>0</v>
      </c>
      <c r="CI20">
        <v>1</v>
      </c>
      <c r="CJ20">
        <v>519</v>
      </c>
      <c r="CK20">
        <v>60.207873730000003</v>
      </c>
      <c r="CL20">
        <v>1</v>
      </c>
      <c r="CM20">
        <v>519</v>
      </c>
      <c r="CN20"/>
      <c r="CO20"/>
      <c r="CP20"/>
      <c r="CQ20">
        <v>0</v>
      </c>
      <c r="CR20"/>
      <c r="CS20"/>
      <c r="CT20">
        <v>0</v>
      </c>
      <c r="CU20"/>
      <c r="CV20"/>
      <c r="CW20">
        <v>0</v>
      </c>
      <c r="CX20"/>
      <c r="CY20"/>
      <c r="CZ20">
        <v>0</v>
      </c>
      <c r="DA20"/>
      <c r="DB20"/>
      <c r="DC20">
        <v>72.547795730000004</v>
      </c>
      <c r="DD20">
        <v>1</v>
      </c>
      <c r="DE20">
        <v>519</v>
      </c>
      <c r="DF20" s="171" t="s">
        <v>177</v>
      </c>
      <c r="DG20" s="171" t="s">
        <v>445</v>
      </c>
    </row>
    <row r="21" spans="2:111" x14ac:dyDescent="0.35">
      <c r="B21" s="171" t="str">
        <f t="shared" si="0"/>
        <v>iBoxx EUR Sovereigns ESG Tilted45626</v>
      </c>
      <c r="C21">
        <v>1057</v>
      </c>
      <c r="D21" t="s">
        <v>454</v>
      </c>
      <c r="E21" t="s">
        <v>176</v>
      </c>
      <c r="F21" s="26">
        <v>45626</v>
      </c>
      <c r="G21">
        <v>521</v>
      </c>
      <c r="H21">
        <v>521</v>
      </c>
      <c r="I21">
        <v>0</v>
      </c>
      <c r="J21" s="27">
        <v>1</v>
      </c>
      <c r="K21" s="27">
        <v>2.2899999999999999E-14</v>
      </c>
      <c r="L21" t="s">
        <v>455</v>
      </c>
      <c r="M21" s="32">
        <v>68.125335489999998</v>
      </c>
      <c r="N21" s="27">
        <v>1</v>
      </c>
      <c r="O21" s="133">
        <v>521</v>
      </c>
      <c r="P21" s="32">
        <v>63.530030859999997</v>
      </c>
      <c r="Q21">
        <v>1</v>
      </c>
      <c r="R21">
        <v>521</v>
      </c>
      <c r="S21">
        <v>66.867607100000001</v>
      </c>
      <c r="T21">
        <v>1</v>
      </c>
      <c r="U21">
        <v>521</v>
      </c>
      <c r="V21">
        <v>70.384336739999995</v>
      </c>
      <c r="W21">
        <v>1</v>
      </c>
      <c r="X21">
        <v>521</v>
      </c>
      <c r="Y21">
        <v>62.956769430000001</v>
      </c>
      <c r="Z21">
        <v>1</v>
      </c>
      <c r="AA21">
        <v>521</v>
      </c>
      <c r="AB21">
        <v>72.798399070000002</v>
      </c>
      <c r="AC21">
        <v>1</v>
      </c>
      <c r="AD21">
        <v>521</v>
      </c>
      <c r="AE21">
        <v>0</v>
      </c>
      <c r="AF21"/>
      <c r="AG21"/>
      <c r="AH21">
        <v>0</v>
      </c>
      <c r="AI21"/>
      <c r="AJ21"/>
      <c r="AK21">
        <v>62.087924209999997</v>
      </c>
      <c r="AL21">
        <v>1</v>
      </c>
      <c r="AM21">
        <v>521</v>
      </c>
      <c r="AN21">
        <v>71.491248659999997</v>
      </c>
      <c r="AO21">
        <v>1</v>
      </c>
      <c r="AP21">
        <v>521</v>
      </c>
      <c r="AQ21">
        <v>194.11963900000001</v>
      </c>
      <c r="AR21">
        <v>1</v>
      </c>
      <c r="AS21">
        <v>521</v>
      </c>
      <c r="AT21">
        <v>0</v>
      </c>
      <c r="AU21">
        <v>1</v>
      </c>
      <c r="AV21">
        <v>0</v>
      </c>
      <c r="AW21">
        <v>0</v>
      </c>
      <c r="AX21">
        <v>0</v>
      </c>
      <c r="AY21">
        <v>0</v>
      </c>
      <c r="AZ21">
        <v>0</v>
      </c>
      <c r="BA21">
        <v>1</v>
      </c>
      <c r="BB21">
        <v>521</v>
      </c>
      <c r="BC21"/>
      <c r="BD21">
        <v>1</v>
      </c>
      <c r="BE21">
        <v>521</v>
      </c>
      <c r="BF21">
        <v>0</v>
      </c>
      <c r="BG21">
        <v>1</v>
      </c>
      <c r="BH21">
        <v>521</v>
      </c>
      <c r="BI21"/>
      <c r="BJ21">
        <v>1</v>
      </c>
      <c r="BK21">
        <v>521</v>
      </c>
      <c r="BL21"/>
      <c r="BM21"/>
      <c r="BN21"/>
      <c r="BO21">
        <v>0</v>
      </c>
      <c r="BP21"/>
      <c r="BQ21"/>
      <c r="BR21"/>
      <c r="BS21"/>
      <c r="BT21"/>
      <c r="BU21"/>
      <c r="BV21">
        <v>3.2136552999999998E-2</v>
      </c>
      <c r="BW21">
        <v>3.2136552999999998E-2</v>
      </c>
      <c r="BX21">
        <v>23</v>
      </c>
      <c r="BY21">
        <v>0</v>
      </c>
      <c r="BZ21">
        <v>0.99999999999997702</v>
      </c>
      <c r="CA21">
        <v>521</v>
      </c>
      <c r="CB21">
        <v>0</v>
      </c>
      <c r="CC21">
        <v>0.99999999999997702</v>
      </c>
      <c r="CD21">
        <v>521</v>
      </c>
      <c r="CE21">
        <v>0</v>
      </c>
      <c r="CF21">
        <v>0</v>
      </c>
      <c r="CG21">
        <v>0</v>
      </c>
      <c r="CH21">
        <v>0</v>
      </c>
      <c r="CI21">
        <v>1</v>
      </c>
      <c r="CJ21">
        <v>521</v>
      </c>
      <c r="CK21">
        <v>60.207259569999998</v>
      </c>
      <c r="CL21">
        <v>1</v>
      </c>
      <c r="CM21">
        <v>521</v>
      </c>
      <c r="CN21"/>
      <c r="CO21"/>
      <c r="CP21"/>
      <c r="CQ21">
        <v>0</v>
      </c>
      <c r="CR21"/>
      <c r="CS21"/>
      <c r="CT21">
        <v>0</v>
      </c>
      <c r="CU21"/>
      <c r="CV21"/>
      <c r="CW21">
        <v>0</v>
      </c>
      <c r="CX21"/>
      <c r="CY21"/>
      <c r="CZ21">
        <v>0</v>
      </c>
      <c r="DA21"/>
      <c r="DB21"/>
      <c r="DC21">
        <v>72.431440749999993</v>
      </c>
      <c r="DD21">
        <v>1</v>
      </c>
      <c r="DE21">
        <v>521</v>
      </c>
      <c r="DF21" s="171" t="s">
        <v>177</v>
      </c>
      <c r="DG21" s="171" t="s">
        <v>445</v>
      </c>
    </row>
    <row r="22" spans="2:111" x14ac:dyDescent="0.35">
      <c r="B22" s="171" t="str">
        <f t="shared" si="0"/>
        <v>iBoxx EUR Eurozone Sovereigns Green Bonds Capped45596</v>
      </c>
      <c r="C22">
        <v>1058</v>
      </c>
      <c r="D22" t="s">
        <v>456</v>
      </c>
      <c r="E22" t="s">
        <v>166</v>
      </c>
      <c r="F22" s="26">
        <v>45596</v>
      </c>
      <c r="G22">
        <v>23</v>
      </c>
      <c r="H22">
        <v>23</v>
      </c>
      <c r="I22">
        <v>0</v>
      </c>
      <c r="J22" s="27">
        <v>1</v>
      </c>
      <c r="K22" s="27">
        <v>7.77E-16</v>
      </c>
      <c r="L22" t="s">
        <v>455</v>
      </c>
      <c r="M22" s="32">
        <v>68.206799840000002</v>
      </c>
      <c r="N22" s="27">
        <v>1</v>
      </c>
      <c r="O22" s="133">
        <v>23</v>
      </c>
      <c r="P22" s="32">
        <v>62.675961430000001</v>
      </c>
      <c r="Q22">
        <v>1</v>
      </c>
      <c r="R22">
        <v>23</v>
      </c>
      <c r="S22">
        <v>67.17484177</v>
      </c>
      <c r="T22">
        <v>1</v>
      </c>
      <c r="U22">
        <v>23</v>
      </c>
      <c r="V22">
        <v>70.588422019999996</v>
      </c>
      <c r="W22">
        <v>1</v>
      </c>
      <c r="X22">
        <v>23</v>
      </c>
      <c r="Y22">
        <v>63.86773032</v>
      </c>
      <c r="Z22">
        <v>1</v>
      </c>
      <c r="AA22">
        <v>23</v>
      </c>
      <c r="AB22">
        <v>73.259797579999997</v>
      </c>
      <c r="AC22">
        <v>1</v>
      </c>
      <c r="AD22">
        <v>23</v>
      </c>
      <c r="AE22">
        <v>0</v>
      </c>
      <c r="AF22"/>
      <c r="AG22"/>
      <c r="AH22">
        <v>0</v>
      </c>
      <c r="AI22"/>
      <c r="AJ22"/>
      <c r="AK22">
        <v>62.515441680000002</v>
      </c>
      <c r="AL22">
        <v>1</v>
      </c>
      <c r="AM22">
        <v>23</v>
      </c>
      <c r="AN22">
        <v>71.63166124</v>
      </c>
      <c r="AO22">
        <v>1</v>
      </c>
      <c r="AP22">
        <v>23</v>
      </c>
      <c r="AQ22">
        <v>186.39130500000002</v>
      </c>
      <c r="AR22">
        <v>1</v>
      </c>
      <c r="AS22">
        <v>23</v>
      </c>
      <c r="AT22">
        <v>0</v>
      </c>
      <c r="AU22">
        <v>1</v>
      </c>
      <c r="AV22">
        <v>0</v>
      </c>
      <c r="AW22">
        <v>0</v>
      </c>
      <c r="AX22">
        <v>0</v>
      </c>
      <c r="AY22">
        <v>0</v>
      </c>
      <c r="AZ22"/>
      <c r="BA22">
        <v>1</v>
      </c>
      <c r="BB22">
        <v>23</v>
      </c>
      <c r="BC22"/>
      <c r="BD22">
        <v>1</v>
      </c>
      <c r="BE22">
        <v>23</v>
      </c>
      <c r="BF22">
        <v>0</v>
      </c>
      <c r="BG22">
        <v>1</v>
      </c>
      <c r="BH22">
        <v>23</v>
      </c>
      <c r="BI22"/>
      <c r="BJ22">
        <v>1</v>
      </c>
      <c r="BK22">
        <v>23</v>
      </c>
      <c r="BL22"/>
      <c r="BM22"/>
      <c r="BN22"/>
      <c r="BO22">
        <v>0</v>
      </c>
      <c r="BP22"/>
      <c r="BQ22"/>
      <c r="BR22"/>
      <c r="BS22"/>
      <c r="BT22"/>
      <c r="BU22"/>
      <c r="BV22">
        <v>1</v>
      </c>
      <c r="BW22">
        <v>1</v>
      </c>
      <c r="BX22">
        <v>23</v>
      </c>
      <c r="BY22">
        <v>0</v>
      </c>
      <c r="BZ22">
        <v>0.999999999999999</v>
      </c>
      <c r="CA22">
        <v>23</v>
      </c>
      <c r="CB22">
        <v>0</v>
      </c>
      <c r="CC22">
        <v>0.999999999999999</v>
      </c>
      <c r="CD22">
        <v>23</v>
      </c>
      <c r="CE22">
        <v>0</v>
      </c>
      <c r="CF22">
        <v>0</v>
      </c>
      <c r="CG22">
        <v>0</v>
      </c>
      <c r="CH22">
        <v>0</v>
      </c>
      <c r="CI22">
        <v>1</v>
      </c>
      <c r="CJ22">
        <v>23</v>
      </c>
      <c r="CK22">
        <v>60.334753560000003</v>
      </c>
      <c r="CL22">
        <v>1</v>
      </c>
      <c r="CM22">
        <v>23</v>
      </c>
      <c r="CN22"/>
      <c r="CO22"/>
      <c r="CP22"/>
      <c r="CQ22">
        <v>0</v>
      </c>
      <c r="CR22"/>
      <c r="CS22"/>
      <c r="CT22">
        <v>0</v>
      </c>
      <c r="CU22"/>
      <c r="CV22"/>
      <c r="CW22">
        <v>0</v>
      </c>
      <c r="CX22"/>
      <c r="CY22"/>
      <c r="CZ22">
        <v>0</v>
      </c>
      <c r="DA22"/>
      <c r="DB22"/>
      <c r="DC22">
        <v>73.213299960000001</v>
      </c>
      <c r="DD22">
        <v>1</v>
      </c>
      <c r="DE22">
        <v>23</v>
      </c>
      <c r="DF22" s="171" t="s">
        <v>167</v>
      </c>
      <c r="DG22" s="171" t="s">
        <v>445</v>
      </c>
    </row>
    <row r="23" spans="2:111" x14ac:dyDescent="0.35">
      <c r="B23" s="171" t="str">
        <f t="shared" si="0"/>
        <v>iBoxx EUR Eurozone Sovereigns Green Bonds Capped45626</v>
      </c>
      <c r="C23">
        <v>1059</v>
      </c>
      <c r="D23" t="s">
        <v>456</v>
      </c>
      <c r="E23" t="s">
        <v>166</v>
      </c>
      <c r="F23" s="26">
        <v>45626</v>
      </c>
      <c r="G23">
        <v>23</v>
      </c>
      <c r="H23">
        <v>23</v>
      </c>
      <c r="I23">
        <v>0</v>
      </c>
      <c r="J23" s="27">
        <v>1</v>
      </c>
      <c r="K23" s="27">
        <v>-2.2200000000000001E-16</v>
      </c>
      <c r="L23" t="s">
        <v>455</v>
      </c>
      <c r="M23" s="32">
        <v>68.19098855</v>
      </c>
      <c r="N23" s="27">
        <v>1</v>
      </c>
      <c r="O23" s="133">
        <v>23</v>
      </c>
      <c r="P23" s="32">
        <v>62.662702840000001</v>
      </c>
      <c r="Q23">
        <v>1</v>
      </c>
      <c r="R23">
        <v>23</v>
      </c>
      <c r="S23">
        <v>67.156173629999998</v>
      </c>
      <c r="T23">
        <v>1</v>
      </c>
      <c r="U23">
        <v>23</v>
      </c>
      <c r="V23">
        <v>70.573844710000003</v>
      </c>
      <c r="W23">
        <v>1</v>
      </c>
      <c r="X23">
        <v>23</v>
      </c>
      <c r="Y23">
        <v>63.736541150000001</v>
      </c>
      <c r="Z23">
        <v>1</v>
      </c>
      <c r="AA23">
        <v>23</v>
      </c>
      <c r="AB23">
        <v>73.230240730000006</v>
      </c>
      <c r="AC23">
        <v>1</v>
      </c>
      <c r="AD23">
        <v>23</v>
      </c>
      <c r="AE23">
        <v>0</v>
      </c>
      <c r="AF23"/>
      <c r="AG23"/>
      <c r="AH23">
        <v>0</v>
      </c>
      <c r="AI23"/>
      <c r="AJ23"/>
      <c r="AK23">
        <v>62.479783810000001</v>
      </c>
      <c r="AL23">
        <v>1</v>
      </c>
      <c r="AM23">
        <v>23</v>
      </c>
      <c r="AN23">
        <v>71.598911139999998</v>
      </c>
      <c r="AO23">
        <v>1</v>
      </c>
      <c r="AP23">
        <v>23</v>
      </c>
      <c r="AQ23">
        <v>186.633715</v>
      </c>
      <c r="AR23">
        <v>1</v>
      </c>
      <c r="AS23">
        <v>23</v>
      </c>
      <c r="AT23">
        <v>0</v>
      </c>
      <c r="AU23">
        <v>1</v>
      </c>
      <c r="AV23">
        <v>0</v>
      </c>
      <c r="AW23">
        <v>0</v>
      </c>
      <c r="AX23">
        <v>0</v>
      </c>
      <c r="AY23">
        <v>0</v>
      </c>
      <c r="AZ23"/>
      <c r="BA23">
        <v>1</v>
      </c>
      <c r="BB23">
        <v>23</v>
      </c>
      <c r="BC23"/>
      <c r="BD23">
        <v>1</v>
      </c>
      <c r="BE23">
        <v>23</v>
      </c>
      <c r="BF23">
        <v>0</v>
      </c>
      <c r="BG23">
        <v>1</v>
      </c>
      <c r="BH23">
        <v>23</v>
      </c>
      <c r="BI23"/>
      <c r="BJ23">
        <v>1</v>
      </c>
      <c r="BK23">
        <v>23</v>
      </c>
      <c r="BL23"/>
      <c r="BM23"/>
      <c r="BN23"/>
      <c r="BO23">
        <v>0</v>
      </c>
      <c r="BP23"/>
      <c r="BQ23"/>
      <c r="BR23"/>
      <c r="BS23"/>
      <c r="BT23"/>
      <c r="BU23"/>
      <c r="BV23">
        <v>1</v>
      </c>
      <c r="BW23">
        <v>1</v>
      </c>
      <c r="BX23">
        <v>23</v>
      </c>
      <c r="BY23">
        <v>0</v>
      </c>
      <c r="BZ23">
        <v>1</v>
      </c>
      <c r="CA23">
        <v>23</v>
      </c>
      <c r="CB23">
        <v>0</v>
      </c>
      <c r="CC23">
        <v>1</v>
      </c>
      <c r="CD23">
        <v>23</v>
      </c>
      <c r="CE23">
        <v>0</v>
      </c>
      <c r="CF23">
        <v>0</v>
      </c>
      <c r="CG23">
        <v>0</v>
      </c>
      <c r="CH23">
        <v>0</v>
      </c>
      <c r="CI23">
        <v>1</v>
      </c>
      <c r="CJ23">
        <v>23</v>
      </c>
      <c r="CK23">
        <v>60.328252310000003</v>
      </c>
      <c r="CL23">
        <v>1</v>
      </c>
      <c r="CM23">
        <v>23</v>
      </c>
      <c r="CN23"/>
      <c r="CO23"/>
      <c r="CP23"/>
      <c r="CQ23">
        <v>0</v>
      </c>
      <c r="CR23"/>
      <c r="CS23"/>
      <c r="CT23">
        <v>0</v>
      </c>
      <c r="CU23"/>
      <c r="CV23"/>
      <c r="CW23">
        <v>0</v>
      </c>
      <c r="CX23"/>
      <c r="CY23"/>
      <c r="CZ23">
        <v>0</v>
      </c>
      <c r="DA23"/>
      <c r="DB23"/>
      <c r="DC23">
        <v>73.145854060000005</v>
      </c>
      <c r="DD23">
        <v>1</v>
      </c>
      <c r="DE23">
        <v>23</v>
      </c>
      <c r="DF23" s="171" t="s">
        <v>167</v>
      </c>
      <c r="DG23" s="171" t="s">
        <v>445</v>
      </c>
    </row>
    <row r="24" spans="2:111" x14ac:dyDescent="0.35">
      <c r="B24" s="171" t="str">
        <f t="shared" si="0"/>
        <v>iBoxx EUR Corporates Net Zero 2050 Paris-Aligned ESG45596</v>
      </c>
      <c r="C24">
        <v>1061</v>
      </c>
      <c r="D24" t="s">
        <v>457</v>
      </c>
      <c r="E24" t="s">
        <v>162</v>
      </c>
      <c r="F24" s="26">
        <v>45596</v>
      </c>
      <c r="G24">
        <v>3455</v>
      </c>
      <c r="H24">
        <v>0</v>
      </c>
      <c r="I24">
        <v>3455</v>
      </c>
      <c r="J24" s="27">
        <v>0</v>
      </c>
      <c r="K24" s="27">
        <v>1</v>
      </c>
      <c r="L24" t="s">
        <v>444</v>
      </c>
      <c r="M24" s="32">
        <v>16.83563277</v>
      </c>
      <c r="N24" s="27">
        <v>0.98878187100000003</v>
      </c>
      <c r="O24" s="133">
        <v>3422</v>
      </c>
      <c r="P24" s="32">
        <v>3.1075970800000001</v>
      </c>
      <c r="Q24">
        <v>0.98591957699999999</v>
      </c>
      <c r="R24">
        <v>3411</v>
      </c>
      <c r="S24">
        <v>8.3386901899999994</v>
      </c>
      <c r="T24">
        <v>0.98591957699999999</v>
      </c>
      <c r="U24">
        <v>3411</v>
      </c>
      <c r="V24">
        <v>5.3679304219999997</v>
      </c>
      <c r="W24">
        <v>0.98591957699999999</v>
      </c>
      <c r="X24">
        <v>3411</v>
      </c>
      <c r="Y24">
        <v>0</v>
      </c>
      <c r="Z24"/>
      <c r="AA24"/>
      <c r="AB24">
        <v>0</v>
      </c>
      <c r="AC24"/>
      <c r="AD24"/>
      <c r="AE24">
        <v>0.22159154749999999</v>
      </c>
      <c r="AF24">
        <v>2.8966879000000001E-2</v>
      </c>
      <c r="AG24">
        <v>109</v>
      </c>
      <c r="AH24">
        <v>0.64078265300000004</v>
      </c>
      <c r="AI24">
        <v>9.7686893999999996E-2</v>
      </c>
      <c r="AJ24">
        <v>318</v>
      </c>
      <c r="AK24">
        <v>0</v>
      </c>
      <c r="AL24"/>
      <c r="AM24"/>
      <c r="AN24">
        <v>0</v>
      </c>
      <c r="AO24"/>
      <c r="AP24"/>
      <c r="AQ24">
        <v>0</v>
      </c>
      <c r="AR24"/>
      <c r="AS24"/>
      <c r="AT24">
        <v>0.13759384399999999</v>
      </c>
      <c r="AU24">
        <v>0.53677779199999998</v>
      </c>
      <c r="AV24">
        <v>0.31096791899999998</v>
      </c>
      <c r="AW24">
        <v>8.884655E-3</v>
      </c>
      <c r="AX24">
        <v>0</v>
      </c>
      <c r="AY24">
        <v>5.7757900000000003E-3</v>
      </c>
      <c r="AZ24"/>
      <c r="BA24"/>
      <c r="BB24"/>
      <c r="BC24"/>
      <c r="BD24"/>
      <c r="BE24"/>
      <c r="BF24"/>
      <c r="BG24"/>
      <c r="BH24"/>
      <c r="BI24"/>
      <c r="BJ24"/>
      <c r="BK24"/>
      <c r="BL24">
        <v>0.44038517199999999</v>
      </c>
      <c r="BM24">
        <v>1</v>
      </c>
      <c r="BN24">
        <v>3455</v>
      </c>
      <c r="BO24">
        <v>41.333832639999997</v>
      </c>
      <c r="BP24">
        <v>0.81427070400000001</v>
      </c>
      <c r="BQ24">
        <v>2704</v>
      </c>
      <c r="BR24">
        <v>1.9747542E-2</v>
      </c>
      <c r="BS24">
        <v>2.6936090999999999E-2</v>
      </c>
      <c r="BT24">
        <v>1</v>
      </c>
      <c r="BU24">
        <v>3455</v>
      </c>
      <c r="BV24">
        <v>0.19058287400000001</v>
      </c>
      <c r="BW24">
        <v>0.19058287400000001</v>
      </c>
      <c r="BX24">
        <v>594</v>
      </c>
      <c r="BY24">
        <v>0</v>
      </c>
      <c r="BZ24">
        <v>0.99999999999982803</v>
      </c>
      <c r="CA24">
        <v>3455</v>
      </c>
      <c r="CB24">
        <v>0</v>
      </c>
      <c r="CC24">
        <v>0.99999999999982803</v>
      </c>
      <c r="CD24">
        <v>3455</v>
      </c>
      <c r="CE24">
        <v>0</v>
      </c>
      <c r="CF24">
        <v>0.98878187080480595</v>
      </c>
      <c r="CG24">
        <v>3422</v>
      </c>
      <c r="CH24">
        <v>0</v>
      </c>
      <c r="CI24">
        <v>1</v>
      </c>
      <c r="CJ24">
        <v>3455</v>
      </c>
      <c r="CK24">
        <v>0</v>
      </c>
      <c r="CL24"/>
      <c r="CM24"/>
      <c r="CN24">
        <v>0.14747849900000001</v>
      </c>
      <c r="CO24">
        <v>0.98878187100000003</v>
      </c>
      <c r="CP24">
        <v>3422</v>
      </c>
      <c r="CQ24">
        <v>2</v>
      </c>
      <c r="CR24">
        <v>0.98878187100000003</v>
      </c>
      <c r="CS24">
        <v>3422</v>
      </c>
      <c r="CT24">
        <v>489914127.39999998</v>
      </c>
      <c r="CU24">
        <v>0.98878187100000003</v>
      </c>
      <c r="CV24">
        <v>3422</v>
      </c>
      <c r="CW24">
        <v>0.611478572</v>
      </c>
      <c r="CX24">
        <v>0.82071816799999997</v>
      </c>
      <c r="CY24">
        <v>2719</v>
      </c>
      <c r="CZ24">
        <v>174607.4</v>
      </c>
      <c r="DA24">
        <v>0.82234785399999999</v>
      </c>
      <c r="DB24">
        <v>2725</v>
      </c>
      <c r="DC24">
        <v>0</v>
      </c>
      <c r="DD24"/>
      <c r="DE24"/>
      <c r="DF24" s="171" t="s">
        <v>163</v>
      </c>
      <c r="DG24" s="171" t="s">
        <v>445</v>
      </c>
    </row>
    <row r="25" spans="2:111" x14ac:dyDescent="0.35">
      <c r="B25" s="171" t="str">
        <f t="shared" si="0"/>
        <v>iBoxx EUR Corporates Net Zero 2050 Paris-Aligned ESG45626</v>
      </c>
      <c r="C25">
        <v>1062</v>
      </c>
      <c r="D25" t="s">
        <v>457</v>
      </c>
      <c r="E25" t="s">
        <v>162</v>
      </c>
      <c r="F25" s="26">
        <v>45626</v>
      </c>
      <c r="G25">
        <v>3467</v>
      </c>
      <c r="H25">
        <v>0</v>
      </c>
      <c r="I25">
        <v>3467</v>
      </c>
      <c r="J25" s="27">
        <v>0</v>
      </c>
      <c r="K25" s="27">
        <v>1</v>
      </c>
      <c r="L25" t="s">
        <v>444</v>
      </c>
      <c r="M25" s="32">
        <v>16.765709730000001</v>
      </c>
      <c r="N25" s="27">
        <v>0.98789001799999998</v>
      </c>
      <c r="O25" s="133">
        <v>3431</v>
      </c>
      <c r="P25" s="32">
        <v>3.104365939</v>
      </c>
      <c r="Q25">
        <v>0.98495041999999999</v>
      </c>
      <c r="R25">
        <v>3419</v>
      </c>
      <c r="S25">
        <v>8.3003995770000003</v>
      </c>
      <c r="T25">
        <v>0.98495041999999999</v>
      </c>
      <c r="U25">
        <v>3419</v>
      </c>
      <c r="V25">
        <v>5.3397669929999996</v>
      </c>
      <c r="W25">
        <v>0.98495041999999999</v>
      </c>
      <c r="X25">
        <v>3419</v>
      </c>
      <c r="Y25">
        <v>0</v>
      </c>
      <c r="Z25"/>
      <c r="AA25"/>
      <c r="AB25">
        <v>0</v>
      </c>
      <c r="AC25"/>
      <c r="AD25"/>
      <c r="AE25">
        <v>0.224467685</v>
      </c>
      <c r="AF25">
        <v>2.9757024E-2</v>
      </c>
      <c r="AG25">
        <v>110</v>
      </c>
      <c r="AH25">
        <v>0.64196982499999999</v>
      </c>
      <c r="AI25">
        <v>9.6780572999999995E-2</v>
      </c>
      <c r="AJ25">
        <v>317</v>
      </c>
      <c r="AK25">
        <v>0</v>
      </c>
      <c r="AL25"/>
      <c r="AM25"/>
      <c r="AN25">
        <v>0</v>
      </c>
      <c r="AO25"/>
      <c r="AP25"/>
      <c r="AQ25">
        <v>0</v>
      </c>
      <c r="AR25"/>
      <c r="AS25"/>
      <c r="AT25">
        <v>0.13096212700000001</v>
      </c>
      <c r="AU25">
        <v>0.55542176399999998</v>
      </c>
      <c r="AV25">
        <v>0.29795645399999998</v>
      </c>
      <c r="AW25">
        <v>9.1020419999999994E-3</v>
      </c>
      <c r="AX25">
        <v>0</v>
      </c>
      <c r="AY25">
        <v>6.5576139999999998E-3</v>
      </c>
      <c r="AZ25"/>
      <c r="BA25"/>
      <c r="BB25"/>
      <c r="BC25"/>
      <c r="BD25"/>
      <c r="BE25"/>
      <c r="BF25"/>
      <c r="BG25"/>
      <c r="BH25"/>
      <c r="BI25"/>
      <c r="BJ25"/>
      <c r="BK25"/>
      <c r="BL25">
        <v>0.44055472899999998</v>
      </c>
      <c r="BM25">
        <v>1</v>
      </c>
      <c r="BN25">
        <v>3467</v>
      </c>
      <c r="BO25">
        <v>41.282564010000002</v>
      </c>
      <c r="BP25">
        <v>0.81220295600000003</v>
      </c>
      <c r="BQ25">
        <v>2712</v>
      </c>
      <c r="BR25">
        <v>1.9634657999999999E-2</v>
      </c>
      <c r="BS25">
        <v>2.6621878000000002E-2</v>
      </c>
      <c r="BT25">
        <v>1</v>
      </c>
      <c r="BU25">
        <v>3467</v>
      </c>
      <c r="BV25">
        <v>0.194080647</v>
      </c>
      <c r="BW25">
        <v>0.194080647</v>
      </c>
      <c r="BX25">
        <v>607</v>
      </c>
      <c r="BY25">
        <v>0</v>
      </c>
      <c r="BZ25">
        <v>0.99999999999982703</v>
      </c>
      <c r="CA25">
        <v>3467</v>
      </c>
      <c r="CB25">
        <v>0</v>
      </c>
      <c r="CC25">
        <v>0.99999999999982703</v>
      </c>
      <c r="CD25">
        <v>3467</v>
      </c>
      <c r="CE25">
        <v>0</v>
      </c>
      <c r="CF25">
        <v>0.98789001808231502</v>
      </c>
      <c r="CG25">
        <v>3431</v>
      </c>
      <c r="CH25">
        <v>0</v>
      </c>
      <c r="CI25">
        <v>1</v>
      </c>
      <c r="CJ25">
        <v>3467</v>
      </c>
      <c r="CK25">
        <v>0</v>
      </c>
      <c r="CL25"/>
      <c r="CM25"/>
      <c r="CN25">
        <v>0.14772095299999999</v>
      </c>
      <c r="CO25">
        <v>0.98789001799999998</v>
      </c>
      <c r="CP25">
        <v>3431</v>
      </c>
      <c r="CQ25">
        <v>2</v>
      </c>
      <c r="CR25">
        <v>0.98789001799999998</v>
      </c>
      <c r="CS25">
        <v>3431</v>
      </c>
      <c r="CT25">
        <v>489914127.39999998</v>
      </c>
      <c r="CU25">
        <v>0.98789001799999998</v>
      </c>
      <c r="CV25">
        <v>3431</v>
      </c>
      <c r="CW25">
        <v>0.60896991700000003</v>
      </c>
      <c r="CX25">
        <v>0.81851032400000001</v>
      </c>
      <c r="CY25">
        <v>2726</v>
      </c>
      <c r="CZ25">
        <v>174871.7</v>
      </c>
      <c r="DA25">
        <v>0.82004503699999998</v>
      </c>
      <c r="DB25">
        <v>2732</v>
      </c>
      <c r="DC25">
        <v>0</v>
      </c>
      <c r="DD25"/>
      <c r="DE25"/>
      <c r="DF25" s="171" t="s">
        <v>163</v>
      </c>
      <c r="DG25" s="171" t="s">
        <v>445</v>
      </c>
    </row>
    <row r="26" spans="2:111" x14ac:dyDescent="0.35">
      <c r="B26" s="171" t="str">
        <f t="shared" si="0"/>
        <v>iBoxx EUR Corporates Investment Grade &amp; Fallen Angels FWPL45596</v>
      </c>
      <c r="C26">
        <v>1063</v>
      </c>
      <c r="D26" t="s">
        <v>458</v>
      </c>
      <c r="E26" t="s">
        <v>160</v>
      </c>
      <c r="F26" s="26">
        <v>45596</v>
      </c>
      <c r="G26">
        <v>3998</v>
      </c>
      <c r="H26">
        <v>0</v>
      </c>
      <c r="I26">
        <v>3998</v>
      </c>
      <c r="J26" s="27">
        <v>0</v>
      </c>
      <c r="K26" s="27">
        <v>1</v>
      </c>
      <c r="L26" t="s">
        <v>444</v>
      </c>
      <c r="M26" s="32">
        <v>18.739721100000001</v>
      </c>
      <c r="N26" s="27">
        <v>0.97485476000000004</v>
      </c>
      <c r="O26" s="133">
        <v>3880</v>
      </c>
      <c r="P26" s="32">
        <v>4.0562036260000003</v>
      </c>
      <c r="Q26">
        <v>0.97133552000000001</v>
      </c>
      <c r="R26">
        <v>3863</v>
      </c>
      <c r="S26">
        <v>8.9143121030000003</v>
      </c>
      <c r="T26">
        <v>0.97133552000000001</v>
      </c>
      <c r="U26">
        <v>3863</v>
      </c>
      <c r="V26">
        <v>5.7671069260000003</v>
      </c>
      <c r="W26">
        <v>0.97133552000000001</v>
      </c>
      <c r="X26">
        <v>3863</v>
      </c>
      <c r="Y26">
        <v>0</v>
      </c>
      <c r="Z26"/>
      <c r="AA26"/>
      <c r="AB26">
        <v>0</v>
      </c>
      <c r="AC26"/>
      <c r="AD26"/>
      <c r="AE26">
        <v>0.20418745990000001</v>
      </c>
      <c r="AF26">
        <v>3.0978743E-2</v>
      </c>
      <c r="AG26">
        <v>129</v>
      </c>
      <c r="AH26">
        <v>0.55021124700000001</v>
      </c>
      <c r="AI26">
        <v>0.13653506900000001</v>
      </c>
      <c r="AJ26">
        <v>549</v>
      </c>
      <c r="AK26">
        <v>0</v>
      </c>
      <c r="AL26"/>
      <c r="AM26"/>
      <c r="AN26">
        <v>0</v>
      </c>
      <c r="AO26"/>
      <c r="AP26"/>
      <c r="AQ26">
        <v>0</v>
      </c>
      <c r="AR26"/>
      <c r="AS26"/>
      <c r="AT26">
        <v>9.3168942000000005E-2</v>
      </c>
      <c r="AU26">
        <v>0.432092643</v>
      </c>
      <c r="AV26">
        <v>0.42108076100000003</v>
      </c>
      <c r="AW26">
        <v>3.1044551E-2</v>
      </c>
      <c r="AX26">
        <v>1.893568E-3</v>
      </c>
      <c r="AY26">
        <v>2.0719535000000001E-2</v>
      </c>
      <c r="AZ26"/>
      <c r="BA26"/>
      <c r="BB26"/>
      <c r="BC26"/>
      <c r="BD26"/>
      <c r="BE26"/>
      <c r="BF26"/>
      <c r="BG26"/>
      <c r="BH26"/>
      <c r="BI26"/>
      <c r="BJ26"/>
      <c r="BK26"/>
      <c r="BL26">
        <v>0.47709870399999998</v>
      </c>
      <c r="BM26">
        <v>1</v>
      </c>
      <c r="BN26">
        <v>3998</v>
      </c>
      <c r="BO26">
        <v>72.835344230000004</v>
      </c>
      <c r="BP26">
        <v>0.78994741499999999</v>
      </c>
      <c r="BQ26">
        <v>3073</v>
      </c>
      <c r="BR26">
        <v>2.103232E-2</v>
      </c>
      <c r="BS26">
        <v>5.5972495999999997E-2</v>
      </c>
      <c r="BT26">
        <v>1</v>
      </c>
      <c r="BU26">
        <v>3998</v>
      </c>
      <c r="BV26">
        <v>0.15469498600000001</v>
      </c>
      <c r="BW26">
        <v>0.15469498600000001</v>
      </c>
      <c r="BX26">
        <v>677</v>
      </c>
      <c r="BY26">
        <v>6.1826542081223996E-3</v>
      </c>
      <c r="BZ26">
        <v>0.99999999999980205</v>
      </c>
      <c r="CA26">
        <v>3998</v>
      </c>
      <c r="CB26">
        <v>8.7768260374392996E-3</v>
      </c>
      <c r="CC26">
        <v>0.99999999999980205</v>
      </c>
      <c r="CD26">
        <v>3998</v>
      </c>
      <c r="CE26">
        <v>0</v>
      </c>
      <c r="CF26">
        <v>0.97706323820951102</v>
      </c>
      <c r="CG26">
        <v>3892</v>
      </c>
      <c r="CH26">
        <v>0</v>
      </c>
      <c r="CI26">
        <v>1</v>
      </c>
      <c r="CJ26">
        <v>3998</v>
      </c>
      <c r="CK26">
        <v>0</v>
      </c>
      <c r="CL26"/>
      <c r="CM26"/>
      <c r="CN26">
        <v>0.14110689000000001</v>
      </c>
      <c r="CO26">
        <v>0.97540741399999997</v>
      </c>
      <c r="CP26">
        <v>3883</v>
      </c>
      <c r="CQ26">
        <v>4</v>
      </c>
      <c r="CR26">
        <v>0.97706323799999995</v>
      </c>
      <c r="CS26">
        <v>3892</v>
      </c>
      <c r="CT26">
        <v>1874095944</v>
      </c>
      <c r="CU26">
        <v>0.97706323799999995</v>
      </c>
      <c r="CV26">
        <v>3892</v>
      </c>
      <c r="CW26">
        <v>0.57215581000000004</v>
      </c>
      <c r="CX26">
        <v>0.79438174900000003</v>
      </c>
      <c r="CY26">
        <v>3083</v>
      </c>
      <c r="CZ26">
        <v>198504.1</v>
      </c>
      <c r="DA26">
        <v>0.80020924199999999</v>
      </c>
      <c r="DB26">
        <v>3105</v>
      </c>
      <c r="DC26">
        <v>0</v>
      </c>
      <c r="DD26"/>
      <c r="DE26"/>
      <c r="DF26" s="171" t="s">
        <v>161</v>
      </c>
      <c r="DG26" s="171" t="s">
        <v>445</v>
      </c>
    </row>
    <row r="27" spans="2:111" x14ac:dyDescent="0.35">
      <c r="B27" s="171" t="str">
        <f t="shared" si="0"/>
        <v>iBoxx EUR Corporates Investment Grade &amp; Fallen Angels FWPL45626</v>
      </c>
      <c r="C27">
        <v>1078</v>
      </c>
      <c r="D27" t="s">
        <v>458</v>
      </c>
      <c r="E27" t="s">
        <v>160</v>
      </c>
      <c r="F27" s="26">
        <v>45626</v>
      </c>
      <c r="G27">
        <v>4026</v>
      </c>
      <c r="H27">
        <v>0</v>
      </c>
      <c r="I27">
        <v>4026</v>
      </c>
      <c r="J27" s="27">
        <v>0</v>
      </c>
      <c r="K27" s="27">
        <v>1</v>
      </c>
      <c r="L27" t="s">
        <v>444</v>
      </c>
      <c r="M27" s="32">
        <v>18.700602740000001</v>
      </c>
      <c r="N27" s="27">
        <v>0.97234229900000002</v>
      </c>
      <c r="O27" s="133">
        <v>3896</v>
      </c>
      <c r="P27" s="32">
        <v>4.0664169399999999</v>
      </c>
      <c r="Q27">
        <v>0.96867802400000003</v>
      </c>
      <c r="R27">
        <v>3878</v>
      </c>
      <c r="S27">
        <v>8.8853650329999994</v>
      </c>
      <c r="T27">
        <v>0.96867802400000003</v>
      </c>
      <c r="U27">
        <v>3878</v>
      </c>
      <c r="V27">
        <v>5.7473532929999998</v>
      </c>
      <c r="W27">
        <v>0.96867802400000003</v>
      </c>
      <c r="X27">
        <v>3878</v>
      </c>
      <c r="Y27">
        <v>0</v>
      </c>
      <c r="Z27"/>
      <c r="AA27"/>
      <c r="AB27">
        <v>0</v>
      </c>
      <c r="AC27"/>
      <c r="AD27"/>
      <c r="AE27">
        <v>0.20775138460000001</v>
      </c>
      <c r="AF27">
        <v>3.1168926999999999E-2</v>
      </c>
      <c r="AG27">
        <v>130</v>
      </c>
      <c r="AH27">
        <v>0.54708394400000004</v>
      </c>
      <c r="AI27">
        <v>0.13648659399999999</v>
      </c>
      <c r="AJ27">
        <v>551</v>
      </c>
      <c r="AK27">
        <v>0</v>
      </c>
      <c r="AL27"/>
      <c r="AM27"/>
      <c r="AN27">
        <v>0</v>
      </c>
      <c r="AO27"/>
      <c r="AP27"/>
      <c r="AQ27">
        <v>0</v>
      </c>
      <c r="AR27"/>
      <c r="AS27"/>
      <c r="AT27">
        <v>8.9277485000000004E-2</v>
      </c>
      <c r="AU27">
        <v>0.44248098499999999</v>
      </c>
      <c r="AV27">
        <v>0.41314247399999998</v>
      </c>
      <c r="AW27">
        <v>3.0407134999999998E-2</v>
      </c>
      <c r="AX27">
        <v>1.7468220000000001E-3</v>
      </c>
      <c r="AY27">
        <v>2.2945099E-2</v>
      </c>
      <c r="AZ27"/>
      <c r="BA27"/>
      <c r="BB27"/>
      <c r="BC27"/>
      <c r="BD27"/>
      <c r="BE27"/>
      <c r="BF27"/>
      <c r="BG27"/>
      <c r="BH27"/>
      <c r="BI27"/>
      <c r="BJ27"/>
      <c r="BK27"/>
      <c r="BL27">
        <v>0.47850152699999998</v>
      </c>
      <c r="BM27">
        <v>1</v>
      </c>
      <c r="BN27">
        <v>4026</v>
      </c>
      <c r="BO27">
        <v>71.48816085</v>
      </c>
      <c r="BP27">
        <v>0.78788756199999999</v>
      </c>
      <c r="BQ27">
        <v>3086</v>
      </c>
      <c r="BR27">
        <v>2.1376293000000001E-2</v>
      </c>
      <c r="BS27">
        <v>5.6841477000000001E-2</v>
      </c>
      <c r="BT27">
        <v>1</v>
      </c>
      <c r="BU27">
        <v>4026</v>
      </c>
      <c r="BV27">
        <v>0.15748467199999999</v>
      </c>
      <c r="BW27">
        <v>0.15748467199999999</v>
      </c>
      <c r="BX27">
        <v>694</v>
      </c>
      <c r="BY27">
        <v>6.1487825634001002E-3</v>
      </c>
      <c r="BZ27">
        <v>0.99999999999980305</v>
      </c>
      <c r="CA27">
        <v>4026</v>
      </c>
      <c r="CB27">
        <v>8.7340683259621993E-3</v>
      </c>
      <c r="CC27">
        <v>0.99999999999980305</v>
      </c>
      <c r="CD27">
        <v>4026</v>
      </c>
      <c r="CE27">
        <v>0</v>
      </c>
      <c r="CF27">
        <v>0.97454345305861201</v>
      </c>
      <c r="CG27">
        <v>3908</v>
      </c>
      <c r="CH27">
        <v>0</v>
      </c>
      <c r="CI27">
        <v>1</v>
      </c>
      <c r="CJ27">
        <v>4026</v>
      </c>
      <c r="CK27">
        <v>0</v>
      </c>
      <c r="CL27"/>
      <c r="CM27"/>
      <c r="CN27">
        <v>0.140236679</v>
      </c>
      <c r="CO27">
        <v>0.97289287899999999</v>
      </c>
      <c r="CP27">
        <v>3899</v>
      </c>
      <c r="CQ27">
        <v>4</v>
      </c>
      <c r="CR27">
        <v>0.974543453</v>
      </c>
      <c r="CS27">
        <v>3908</v>
      </c>
      <c r="CT27">
        <v>1874095944</v>
      </c>
      <c r="CU27">
        <v>0.974543453</v>
      </c>
      <c r="CV27">
        <v>3908</v>
      </c>
      <c r="CW27">
        <v>0.57022301799999997</v>
      </c>
      <c r="CX27">
        <v>0.79204444500000004</v>
      </c>
      <c r="CY27">
        <v>3095</v>
      </c>
      <c r="CZ27">
        <v>199321.9</v>
      </c>
      <c r="DA27">
        <v>0.79785159699999997</v>
      </c>
      <c r="DB27">
        <v>3117</v>
      </c>
      <c r="DC27">
        <v>0</v>
      </c>
      <c r="DD27"/>
      <c r="DE27"/>
      <c r="DF27" s="171" t="s">
        <v>161</v>
      </c>
      <c r="DG27" s="171" t="s">
        <v>445</v>
      </c>
    </row>
    <row r="28" spans="2:111" x14ac:dyDescent="0.35">
      <c r="B28" s="171" t="str">
        <f t="shared" si="0"/>
        <v>iBoxx EUR Corporate Social Bonds Investment Grade (10% Issuer Cap)45596</v>
      </c>
      <c r="C28">
        <v>1137</v>
      </c>
      <c r="D28" t="s">
        <v>459</v>
      </c>
      <c r="E28" t="s">
        <v>154</v>
      </c>
      <c r="F28" s="26">
        <v>45596</v>
      </c>
      <c r="G28">
        <v>63</v>
      </c>
      <c r="H28">
        <v>0</v>
      </c>
      <c r="I28">
        <v>63</v>
      </c>
      <c r="J28" s="27">
        <v>0</v>
      </c>
      <c r="K28" s="27">
        <v>1</v>
      </c>
      <c r="L28" t="s">
        <v>444</v>
      </c>
      <c r="M28" s="32">
        <v>15.3168928</v>
      </c>
      <c r="N28" s="27">
        <v>0.98340969199999995</v>
      </c>
      <c r="O28" s="133">
        <v>61</v>
      </c>
      <c r="P28" s="32">
        <v>0.98386873200000002</v>
      </c>
      <c r="Q28">
        <v>0.98340969199999995</v>
      </c>
      <c r="R28">
        <v>61</v>
      </c>
      <c r="S28">
        <v>8.1544795659999991</v>
      </c>
      <c r="T28">
        <v>0.98340969199999995</v>
      </c>
      <c r="U28">
        <v>61</v>
      </c>
      <c r="V28">
        <v>6.1785444969999999</v>
      </c>
      <c r="W28">
        <v>0.98340969199999995</v>
      </c>
      <c r="X28">
        <v>61</v>
      </c>
      <c r="Y28">
        <v>0</v>
      </c>
      <c r="Z28"/>
      <c r="AA28"/>
      <c r="AB28">
        <v>0</v>
      </c>
      <c r="AC28"/>
      <c r="AD28"/>
      <c r="AE28">
        <v>0.184</v>
      </c>
      <c r="AF28">
        <v>4.1635551999999999E-2</v>
      </c>
      <c r="AG28">
        <v>2</v>
      </c>
      <c r="AH28">
        <v>0.40525868900000001</v>
      </c>
      <c r="AI28">
        <v>2.4203157999999999E-2</v>
      </c>
      <c r="AJ28">
        <v>2</v>
      </c>
      <c r="AK28">
        <v>0</v>
      </c>
      <c r="AL28"/>
      <c r="AM28"/>
      <c r="AN28">
        <v>0</v>
      </c>
      <c r="AO28"/>
      <c r="AP28"/>
      <c r="AQ28">
        <v>0</v>
      </c>
      <c r="AR28"/>
      <c r="AS28"/>
      <c r="AT28">
        <v>0.15106746900000001</v>
      </c>
      <c r="AU28">
        <v>0.66250844499999995</v>
      </c>
      <c r="AV28">
        <v>0.16983377799999999</v>
      </c>
      <c r="AW28">
        <v>0</v>
      </c>
      <c r="AX28">
        <v>0</v>
      </c>
      <c r="AY28">
        <v>1.6590308000000002E-2</v>
      </c>
      <c r="AZ28"/>
      <c r="BA28"/>
      <c r="BB28"/>
      <c r="BC28"/>
      <c r="BD28"/>
      <c r="BE28"/>
      <c r="BF28"/>
      <c r="BG28"/>
      <c r="BH28"/>
      <c r="BI28"/>
      <c r="BJ28"/>
      <c r="BK28"/>
      <c r="BL28">
        <v>0.206577595</v>
      </c>
      <c r="BM28">
        <v>1</v>
      </c>
      <c r="BN28">
        <v>63</v>
      </c>
      <c r="BO28">
        <v>4.6627460449999996</v>
      </c>
      <c r="BP28">
        <v>0.62861085500000002</v>
      </c>
      <c r="BQ28">
        <v>36</v>
      </c>
      <c r="BR28">
        <v>1.1786125E-2</v>
      </c>
      <c r="BS28">
        <v>0</v>
      </c>
      <c r="BT28">
        <v>1</v>
      </c>
      <c r="BU28">
        <v>63</v>
      </c>
      <c r="BV28" s="234">
        <v>0</v>
      </c>
      <c r="BW28" s="234" t="s">
        <v>460</v>
      </c>
      <c r="BX28" s="234" t="s">
        <v>460</v>
      </c>
      <c r="BY28">
        <v>0</v>
      </c>
      <c r="BZ28">
        <v>0.999999999999999</v>
      </c>
      <c r="CA28">
        <v>63</v>
      </c>
      <c r="CB28">
        <v>0</v>
      </c>
      <c r="CC28">
        <v>0.999999999999999</v>
      </c>
      <c r="CD28">
        <v>63</v>
      </c>
      <c r="CE28">
        <v>0</v>
      </c>
      <c r="CF28">
        <v>0.98340969171241199</v>
      </c>
      <c r="CG28">
        <v>61</v>
      </c>
      <c r="CH28">
        <v>0</v>
      </c>
      <c r="CI28">
        <v>1</v>
      </c>
      <c r="CJ28">
        <v>63</v>
      </c>
      <c r="CK28">
        <v>0</v>
      </c>
      <c r="CL28"/>
      <c r="CM28"/>
      <c r="CN28">
        <v>0.25299219499999998</v>
      </c>
      <c r="CO28">
        <v>0.98340969199999995</v>
      </c>
      <c r="CP28">
        <v>61</v>
      </c>
      <c r="CQ28">
        <v>0</v>
      </c>
      <c r="CR28">
        <v>0.98340969199999995</v>
      </c>
      <c r="CS28">
        <v>61</v>
      </c>
      <c r="CT28">
        <v>0</v>
      </c>
      <c r="CU28">
        <v>0.98340969199999995</v>
      </c>
      <c r="CV28">
        <v>61</v>
      </c>
      <c r="CW28">
        <v>0.46327813699999998</v>
      </c>
      <c r="CX28">
        <v>0.62861085500000002</v>
      </c>
      <c r="CY28">
        <v>36</v>
      </c>
      <c r="CZ28">
        <v>2292.6</v>
      </c>
      <c r="DA28">
        <v>0.62861085500000002</v>
      </c>
      <c r="DB28">
        <v>36</v>
      </c>
      <c r="DC28">
        <v>0</v>
      </c>
      <c r="DD28"/>
      <c r="DE28"/>
      <c r="DF28" s="171" t="s">
        <v>155</v>
      </c>
      <c r="DG28" s="171" t="s">
        <v>445</v>
      </c>
    </row>
    <row r="29" spans="2:111" x14ac:dyDescent="0.35">
      <c r="B29" s="171" t="str">
        <f t="shared" si="0"/>
        <v>iBoxx EUR Corporate Social Bonds Investment Grade (10% Issuer Cap)45626</v>
      </c>
      <c r="C29">
        <v>1138</v>
      </c>
      <c r="D29" t="s">
        <v>459</v>
      </c>
      <c r="E29" t="s">
        <v>154</v>
      </c>
      <c r="F29" s="26">
        <v>45626</v>
      </c>
      <c r="G29">
        <v>63</v>
      </c>
      <c r="H29">
        <v>0</v>
      </c>
      <c r="I29">
        <v>63</v>
      </c>
      <c r="J29" s="27">
        <v>0</v>
      </c>
      <c r="K29" s="27">
        <v>1</v>
      </c>
      <c r="L29" t="s">
        <v>444</v>
      </c>
      <c r="M29" s="32">
        <v>15.264783769999999</v>
      </c>
      <c r="N29" s="27">
        <v>0.97656772000000003</v>
      </c>
      <c r="O29" s="133">
        <v>60</v>
      </c>
      <c r="P29" s="32">
        <v>0.98735278699999995</v>
      </c>
      <c r="Q29">
        <v>0.97656772000000003</v>
      </c>
      <c r="R29">
        <v>60</v>
      </c>
      <c r="S29">
        <v>8.1214490880000003</v>
      </c>
      <c r="T29">
        <v>0.97656772000000003</v>
      </c>
      <c r="U29">
        <v>60</v>
      </c>
      <c r="V29">
        <v>6.1559818980000003</v>
      </c>
      <c r="W29">
        <v>0.97656772000000003</v>
      </c>
      <c r="X29">
        <v>60</v>
      </c>
      <c r="Y29">
        <v>0</v>
      </c>
      <c r="Z29"/>
      <c r="AA29"/>
      <c r="AB29">
        <v>0</v>
      </c>
      <c r="AC29"/>
      <c r="AD29"/>
      <c r="AE29">
        <v>0.184</v>
      </c>
      <c r="AF29">
        <v>4.2244173000000003E-2</v>
      </c>
      <c r="AG29">
        <v>2</v>
      </c>
      <c r="AH29">
        <v>0.40527990200000003</v>
      </c>
      <c r="AI29">
        <v>2.4543971000000001E-2</v>
      </c>
      <c r="AJ29">
        <v>2</v>
      </c>
      <c r="AK29">
        <v>0</v>
      </c>
      <c r="AL29"/>
      <c r="AM29"/>
      <c r="AN29">
        <v>0</v>
      </c>
      <c r="AO29"/>
      <c r="AP29"/>
      <c r="AQ29">
        <v>0</v>
      </c>
      <c r="AR29"/>
      <c r="AS29"/>
      <c r="AT29">
        <v>0.11671857099999999</v>
      </c>
      <c r="AU29">
        <v>0.67651375899999999</v>
      </c>
      <c r="AV29">
        <v>0.18333538999999999</v>
      </c>
      <c r="AW29">
        <v>0</v>
      </c>
      <c r="AX29">
        <v>0</v>
      </c>
      <c r="AY29">
        <v>2.343228E-2</v>
      </c>
      <c r="AZ29"/>
      <c r="BA29"/>
      <c r="BB29"/>
      <c r="BC29"/>
      <c r="BD29"/>
      <c r="BE29"/>
      <c r="BF29"/>
      <c r="BG29"/>
      <c r="BH29"/>
      <c r="BI29"/>
      <c r="BJ29"/>
      <c r="BK29"/>
      <c r="BL29">
        <v>0.20839646100000001</v>
      </c>
      <c r="BM29">
        <v>1</v>
      </c>
      <c r="BN29">
        <v>63</v>
      </c>
      <c r="BO29">
        <v>4.7639080380000003</v>
      </c>
      <c r="BP29">
        <v>0.617836987</v>
      </c>
      <c r="BQ29">
        <v>35</v>
      </c>
      <c r="BR29">
        <v>1.1920551E-2</v>
      </c>
      <c r="BS29">
        <v>0</v>
      </c>
      <c r="BT29">
        <v>1</v>
      </c>
      <c r="BU29">
        <v>63</v>
      </c>
      <c r="BV29" s="234">
        <v>0</v>
      </c>
      <c r="BW29" s="234" t="s">
        <v>460</v>
      </c>
      <c r="BX29" s="234" t="s">
        <v>460</v>
      </c>
      <c r="BY29">
        <v>0</v>
      </c>
      <c r="BZ29">
        <v>0.999999999999999</v>
      </c>
      <c r="CA29">
        <v>63</v>
      </c>
      <c r="CB29">
        <v>0</v>
      </c>
      <c r="CC29">
        <v>0.999999999999999</v>
      </c>
      <c r="CD29">
        <v>63</v>
      </c>
      <c r="CE29">
        <v>0</v>
      </c>
      <c r="CF29">
        <v>0.97656771960455502</v>
      </c>
      <c r="CG29">
        <v>60</v>
      </c>
      <c r="CH29">
        <v>0</v>
      </c>
      <c r="CI29">
        <v>1</v>
      </c>
      <c r="CJ29">
        <v>63</v>
      </c>
      <c r="CK29">
        <v>0</v>
      </c>
      <c r="CL29"/>
      <c r="CM29"/>
      <c r="CN29">
        <v>0.255463948</v>
      </c>
      <c r="CO29">
        <v>0.97656772000000003</v>
      </c>
      <c r="CP29">
        <v>60</v>
      </c>
      <c r="CQ29">
        <v>0</v>
      </c>
      <c r="CR29">
        <v>0.97656772000000003</v>
      </c>
      <c r="CS29">
        <v>60</v>
      </c>
      <c r="CT29">
        <v>0</v>
      </c>
      <c r="CU29">
        <v>0.97656772000000003</v>
      </c>
      <c r="CV29">
        <v>60</v>
      </c>
      <c r="CW29">
        <v>0.45375976000000001</v>
      </c>
      <c r="CX29">
        <v>0.617836987</v>
      </c>
      <c r="CY29">
        <v>35</v>
      </c>
      <c r="CZ29">
        <v>2222.6</v>
      </c>
      <c r="DA29">
        <v>0.617836987</v>
      </c>
      <c r="DB29">
        <v>35</v>
      </c>
      <c r="DC29">
        <v>0</v>
      </c>
      <c r="DD29"/>
      <c r="DE29"/>
      <c r="DF29" s="171" t="s">
        <v>155</v>
      </c>
      <c r="DG29" s="171" t="s">
        <v>445</v>
      </c>
    </row>
    <row r="30" spans="2:111" x14ac:dyDescent="0.35">
      <c r="B30" s="171" t="str">
        <f t="shared" si="0"/>
        <v>iBoxx EUR Corporates FWPL45596</v>
      </c>
      <c r="C30">
        <v>1186</v>
      </c>
      <c r="D30" t="s">
        <v>461</v>
      </c>
      <c r="E30" t="s">
        <v>158</v>
      </c>
      <c r="F30" s="26">
        <v>45596</v>
      </c>
      <c r="G30">
        <v>3913</v>
      </c>
      <c r="H30">
        <v>0</v>
      </c>
      <c r="I30">
        <v>3913</v>
      </c>
      <c r="J30" s="27">
        <v>0</v>
      </c>
      <c r="K30" s="27">
        <v>1</v>
      </c>
      <c r="L30" t="s">
        <v>444</v>
      </c>
      <c r="M30" s="32">
        <v>18.760111689999999</v>
      </c>
      <c r="N30" s="27">
        <v>0.97994697600000003</v>
      </c>
      <c r="O30" s="133">
        <v>3820</v>
      </c>
      <c r="P30" s="32">
        <v>4.0491796539999996</v>
      </c>
      <c r="Q30">
        <v>0.97753012500000003</v>
      </c>
      <c r="R30">
        <v>3808</v>
      </c>
      <c r="S30">
        <v>8.9058032740000002</v>
      </c>
      <c r="T30">
        <v>0.97753012500000003</v>
      </c>
      <c r="U30">
        <v>3808</v>
      </c>
      <c r="V30">
        <v>5.7900349679999996</v>
      </c>
      <c r="W30">
        <v>0.97753012500000003</v>
      </c>
      <c r="X30">
        <v>3808</v>
      </c>
      <c r="Y30">
        <v>0</v>
      </c>
      <c r="Z30"/>
      <c r="AA30"/>
      <c r="AB30">
        <v>0</v>
      </c>
      <c r="AC30"/>
      <c r="AD30"/>
      <c r="AE30">
        <v>0.20610476219999999</v>
      </c>
      <c r="AF30">
        <v>3.0724583999999999E-2</v>
      </c>
      <c r="AG30">
        <v>125</v>
      </c>
      <c r="AH30">
        <v>0.51452032400000003</v>
      </c>
      <c r="AI30">
        <v>0.134108222</v>
      </c>
      <c r="AJ30">
        <v>529</v>
      </c>
      <c r="AK30">
        <v>0</v>
      </c>
      <c r="AL30"/>
      <c r="AM30"/>
      <c r="AN30">
        <v>0</v>
      </c>
      <c r="AO30"/>
      <c r="AP30"/>
      <c r="AQ30">
        <v>0</v>
      </c>
      <c r="AR30"/>
      <c r="AS30"/>
      <c r="AT30">
        <v>9.2370544999999998E-2</v>
      </c>
      <c r="AU30">
        <v>0.43572979299999998</v>
      </c>
      <c r="AV30">
        <v>0.42154069199999999</v>
      </c>
      <c r="AW30">
        <v>3.129958E-2</v>
      </c>
      <c r="AX30">
        <v>1.930076E-3</v>
      </c>
      <c r="AY30">
        <v>1.7129314E-2</v>
      </c>
      <c r="AZ30"/>
      <c r="BA30"/>
      <c r="BB30"/>
      <c r="BC30"/>
      <c r="BD30"/>
      <c r="BE30"/>
      <c r="BF30"/>
      <c r="BG30"/>
      <c r="BH30"/>
      <c r="BI30"/>
      <c r="BJ30"/>
      <c r="BK30"/>
      <c r="BL30">
        <v>0.46895775499999998</v>
      </c>
      <c r="BM30">
        <v>1</v>
      </c>
      <c r="BN30">
        <v>3913</v>
      </c>
      <c r="BO30">
        <v>71.952517940000007</v>
      </c>
      <c r="BP30">
        <v>0.79445574500000005</v>
      </c>
      <c r="BQ30">
        <v>3025</v>
      </c>
      <c r="BR30">
        <v>2.1437824000000001E-2</v>
      </c>
      <c r="BS30">
        <v>5.6885466000000003E-2</v>
      </c>
      <c r="BT30">
        <v>1</v>
      </c>
      <c r="BU30">
        <v>3913</v>
      </c>
      <c r="BV30">
        <v>0.153148751</v>
      </c>
      <c r="BW30">
        <v>0.153148751</v>
      </c>
      <c r="BX30">
        <v>655</v>
      </c>
      <c r="BY30">
        <v>6.3018560373813998E-3</v>
      </c>
      <c r="BZ30">
        <v>0.99999999999980604</v>
      </c>
      <c r="CA30">
        <v>3913</v>
      </c>
      <c r="CB30">
        <v>8.9460436070358008E-3</v>
      </c>
      <c r="CC30">
        <v>0.99999999999980604</v>
      </c>
      <c r="CD30">
        <v>3913</v>
      </c>
      <c r="CE30">
        <v>0</v>
      </c>
      <c r="CF30">
        <v>0.98219803405107298</v>
      </c>
      <c r="CG30">
        <v>3832</v>
      </c>
      <c r="CH30">
        <v>0</v>
      </c>
      <c r="CI30">
        <v>1</v>
      </c>
      <c r="CJ30">
        <v>3913</v>
      </c>
      <c r="CK30">
        <v>0</v>
      </c>
      <c r="CL30"/>
      <c r="CM30"/>
      <c r="CN30">
        <v>0.143122943</v>
      </c>
      <c r="CO30">
        <v>0.98051028500000004</v>
      </c>
      <c r="CP30">
        <v>3823</v>
      </c>
      <c r="CQ30">
        <v>4</v>
      </c>
      <c r="CR30">
        <v>0.98219803400000005</v>
      </c>
      <c r="CS30">
        <v>3832</v>
      </c>
      <c r="CT30">
        <v>1874095944</v>
      </c>
      <c r="CU30">
        <v>0.98219803400000005</v>
      </c>
      <c r="CV30">
        <v>3832</v>
      </c>
      <c r="CW30">
        <v>0.57468611300000005</v>
      </c>
      <c r="CX30">
        <v>0.79696328999999999</v>
      </c>
      <c r="CY30">
        <v>3028</v>
      </c>
      <c r="CZ30">
        <v>195672.3</v>
      </c>
      <c r="DA30">
        <v>0.80265313900000002</v>
      </c>
      <c r="DB30">
        <v>3049</v>
      </c>
      <c r="DC30">
        <v>0</v>
      </c>
      <c r="DD30"/>
      <c r="DE30"/>
      <c r="DF30" s="171" t="s">
        <v>159</v>
      </c>
      <c r="DG30" s="171" t="s">
        <v>445</v>
      </c>
    </row>
    <row r="31" spans="2:111" x14ac:dyDescent="0.35">
      <c r="B31" s="171" t="str">
        <f t="shared" si="0"/>
        <v>iBoxx EUR Corporates FWPL45626</v>
      </c>
      <c r="C31">
        <v>1189</v>
      </c>
      <c r="D31" t="s">
        <v>461</v>
      </c>
      <c r="E31" t="s">
        <v>158</v>
      </c>
      <c r="F31" s="26">
        <v>45626</v>
      </c>
      <c r="G31">
        <v>3942</v>
      </c>
      <c r="H31">
        <v>0</v>
      </c>
      <c r="I31">
        <v>3942</v>
      </c>
      <c r="J31" s="27">
        <v>0</v>
      </c>
      <c r="K31" s="27">
        <v>1</v>
      </c>
      <c r="L31" t="s">
        <v>444</v>
      </c>
      <c r="M31" s="32">
        <v>18.720616799999998</v>
      </c>
      <c r="N31" s="27">
        <v>0.97725614800000005</v>
      </c>
      <c r="O31" s="133">
        <v>3837</v>
      </c>
      <c r="P31" s="32">
        <v>4.0596153619999997</v>
      </c>
      <c r="Q31">
        <v>0.974672808</v>
      </c>
      <c r="R31">
        <v>3824</v>
      </c>
      <c r="S31">
        <v>8.8768497770000003</v>
      </c>
      <c r="T31">
        <v>0.974672808</v>
      </c>
      <c r="U31">
        <v>3824</v>
      </c>
      <c r="V31">
        <v>5.769941524</v>
      </c>
      <c r="W31">
        <v>0.974672808</v>
      </c>
      <c r="X31">
        <v>3824</v>
      </c>
      <c r="Y31">
        <v>0</v>
      </c>
      <c r="Z31"/>
      <c r="AA31"/>
      <c r="AB31">
        <v>0</v>
      </c>
      <c r="AC31"/>
      <c r="AD31"/>
      <c r="AE31">
        <v>0.20969199119999998</v>
      </c>
      <c r="AF31">
        <v>3.0925721999999999E-2</v>
      </c>
      <c r="AG31">
        <v>126</v>
      </c>
      <c r="AH31">
        <v>0.51177961100000002</v>
      </c>
      <c r="AI31">
        <v>0.13406958199999999</v>
      </c>
      <c r="AJ31">
        <v>531</v>
      </c>
      <c r="AK31">
        <v>0</v>
      </c>
      <c r="AL31"/>
      <c r="AM31"/>
      <c r="AN31">
        <v>0</v>
      </c>
      <c r="AO31"/>
      <c r="AP31"/>
      <c r="AQ31">
        <v>0</v>
      </c>
      <c r="AR31"/>
      <c r="AS31"/>
      <c r="AT31">
        <v>8.8387631999999994E-2</v>
      </c>
      <c r="AU31">
        <v>0.445644822</v>
      </c>
      <c r="AV31">
        <v>0.41360080900000001</v>
      </c>
      <c r="AW31">
        <v>3.0974641000000001E-2</v>
      </c>
      <c r="AX31">
        <v>1.43962E-3</v>
      </c>
      <c r="AY31">
        <v>1.9952475000000001E-2</v>
      </c>
      <c r="AZ31"/>
      <c r="BA31"/>
      <c r="BB31"/>
      <c r="BC31"/>
      <c r="BD31"/>
      <c r="BE31"/>
      <c r="BF31"/>
      <c r="BG31"/>
      <c r="BH31"/>
      <c r="BI31"/>
      <c r="BJ31"/>
      <c r="BK31"/>
      <c r="BL31">
        <v>0.47066068999999999</v>
      </c>
      <c r="BM31">
        <v>1</v>
      </c>
      <c r="BN31">
        <v>3942</v>
      </c>
      <c r="BO31">
        <v>70.572684699999996</v>
      </c>
      <c r="BP31">
        <v>0.79229688099999995</v>
      </c>
      <c r="BQ31">
        <v>3039</v>
      </c>
      <c r="BR31">
        <v>2.1775249999999999E-2</v>
      </c>
      <c r="BS31">
        <v>5.7738132999999997E-2</v>
      </c>
      <c r="BT31">
        <v>1</v>
      </c>
      <c r="BU31">
        <v>3942</v>
      </c>
      <c r="BV31">
        <v>0.15597033299999999</v>
      </c>
      <c r="BW31">
        <v>0.15597033299999999</v>
      </c>
      <c r="BX31">
        <v>672</v>
      </c>
      <c r="BY31">
        <v>6.2635407334107997E-3</v>
      </c>
      <c r="BZ31">
        <v>0.99999999999980205</v>
      </c>
      <c r="CA31">
        <v>3942</v>
      </c>
      <c r="CB31">
        <v>8.8970771309571997E-3</v>
      </c>
      <c r="CC31">
        <v>0.99999999999980205</v>
      </c>
      <c r="CD31">
        <v>3942</v>
      </c>
      <c r="CE31">
        <v>0</v>
      </c>
      <c r="CF31">
        <v>0.97949838399513001</v>
      </c>
      <c r="CG31">
        <v>3849</v>
      </c>
      <c r="CH31">
        <v>0</v>
      </c>
      <c r="CI31">
        <v>1</v>
      </c>
      <c r="CJ31">
        <v>3942</v>
      </c>
      <c r="CK31">
        <v>0</v>
      </c>
      <c r="CL31"/>
      <c r="CM31"/>
      <c r="CN31">
        <v>0.142153221</v>
      </c>
      <c r="CO31">
        <v>0.97781700400000005</v>
      </c>
      <c r="CP31">
        <v>3840</v>
      </c>
      <c r="CQ31">
        <v>4</v>
      </c>
      <c r="CR31">
        <v>0.979498384</v>
      </c>
      <c r="CS31">
        <v>3849</v>
      </c>
      <c r="CT31">
        <v>1874095944</v>
      </c>
      <c r="CU31">
        <v>0.979498384</v>
      </c>
      <c r="CV31">
        <v>3849</v>
      </c>
      <c r="CW31">
        <v>0.57260753499999995</v>
      </c>
      <c r="CX31">
        <v>0.794543165</v>
      </c>
      <c r="CY31">
        <v>3041</v>
      </c>
      <c r="CZ31">
        <v>196533.9</v>
      </c>
      <c r="DA31">
        <v>0.80021793100000005</v>
      </c>
      <c r="DB31">
        <v>3062</v>
      </c>
      <c r="DC31">
        <v>0</v>
      </c>
      <c r="DD31"/>
      <c r="DE31"/>
      <c r="DF31" s="171" t="s">
        <v>159</v>
      </c>
      <c r="DG31" s="171" t="s">
        <v>445</v>
      </c>
    </row>
    <row r="32" spans="2:111" x14ac:dyDescent="0.35">
      <c r="B32" s="171" t="str">
        <f t="shared" si="0"/>
        <v>iBoxx EUR Corporates ESG45596</v>
      </c>
      <c r="C32">
        <v>1191</v>
      </c>
      <c r="D32" t="s">
        <v>462</v>
      </c>
      <c r="E32" t="s">
        <v>156</v>
      </c>
      <c r="F32" s="26">
        <v>45596</v>
      </c>
      <c r="G32">
        <v>3503</v>
      </c>
      <c r="H32">
        <v>0</v>
      </c>
      <c r="I32">
        <v>3503</v>
      </c>
      <c r="J32" s="27">
        <v>0</v>
      </c>
      <c r="K32" s="27">
        <v>1</v>
      </c>
      <c r="L32" t="s">
        <v>444</v>
      </c>
      <c r="M32" s="32">
        <v>17.99761269</v>
      </c>
      <c r="N32" s="27">
        <v>0.99661929100000002</v>
      </c>
      <c r="O32" s="133">
        <v>3490</v>
      </c>
      <c r="P32" s="32">
        <v>3.5050722809999999</v>
      </c>
      <c r="Q32">
        <v>0.99461580299999997</v>
      </c>
      <c r="R32">
        <v>3481</v>
      </c>
      <c r="S32">
        <v>8.6672177070000007</v>
      </c>
      <c r="T32">
        <v>0.99461580299999997</v>
      </c>
      <c r="U32">
        <v>3481</v>
      </c>
      <c r="V32">
        <v>5.8177633030000004</v>
      </c>
      <c r="W32">
        <v>0.99461580299999997</v>
      </c>
      <c r="X32">
        <v>3481</v>
      </c>
      <c r="Y32">
        <v>0</v>
      </c>
      <c r="Z32"/>
      <c r="AA32"/>
      <c r="AB32">
        <v>0</v>
      </c>
      <c r="AC32"/>
      <c r="AD32"/>
      <c r="AE32">
        <v>0.2057285217</v>
      </c>
      <c r="AF32">
        <v>3.0974360999999999E-2</v>
      </c>
      <c r="AG32">
        <v>110</v>
      </c>
      <c r="AH32">
        <v>0.371378188</v>
      </c>
      <c r="AI32">
        <v>0.107213699</v>
      </c>
      <c r="AJ32">
        <v>393</v>
      </c>
      <c r="AK32">
        <v>0</v>
      </c>
      <c r="AL32"/>
      <c r="AM32"/>
      <c r="AN32">
        <v>0</v>
      </c>
      <c r="AO32"/>
      <c r="AP32"/>
      <c r="AQ32">
        <v>0</v>
      </c>
      <c r="AR32"/>
      <c r="AS32"/>
      <c r="AT32">
        <v>0.101640625</v>
      </c>
      <c r="AU32">
        <v>0.47662793399999998</v>
      </c>
      <c r="AV32">
        <v>0.42173144099999998</v>
      </c>
      <c r="AW32">
        <v>0</v>
      </c>
      <c r="AX32">
        <v>0</v>
      </c>
      <c r="AY32">
        <v>0</v>
      </c>
      <c r="AZ32"/>
      <c r="BA32"/>
      <c r="BB32"/>
      <c r="BC32"/>
      <c r="BD32"/>
      <c r="BE32"/>
      <c r="BF32"/>
      <c r="BG32"/>
      <c r="BH32"/>
      <c r="BI32"/>
      <c r="BJ32"/>
      <c r="BK32"/>
      <c r="BL32">
        <v>0.42615395700000003</v>
      </c>
      <c r="BM32">
        <v>1</v>
      </c>
      <c r="BN32">
        <v>3503</v>
      </c>
      <c r="BO32">
        <v>65.560059280000004</v>
      </c>
      <c r="BP32">
        <v>0.80801929900000002</v>
      </c>
      <c r="BQ32">
        <v>2760</v>
      </c>
      <c r="BR32">
        <v>2.3228722E-2</v>
      </c>
      <c r="BS32">
        <v>4.1984929999999997E-2</v>
      </c>
      <c r="BT32">
        <v>1</v>
      </c>
      <c r="BU32">
        <v>3503</v>
      </c>
      <c r="BV32">
        <v>0.15925258</v>
      </c>
      <c r="BW32">
        <v>0.15925258</v>
      </c>
      <c r="BX32">
        <v>611</v>
      </c>
      <c r="BY32">
        <v>0</v>
      </c>
      <c r="BZ32">
        <v>0.99999999999982903</v>
      </c>
      <c r="CA32">
        <v>3503</v>
      </c>
      <c r="CB32">
        <v>0</v>
      </c>
      <c r="CC32">
        <v>0.99999999999982903</v>
      </c>
      <c r="CD32">
        <v>3503</v>
      </c>
      <c r="CE32">
        <v>0</v>
      </c>
      <c r="CF32">
        <v>0.99661929052387799</v>
      </c>
      <c r="CG32">
        <v>3490</v>
      </c>
      <c r="CH32">
        <v>0</v>
      </c>
      <c r="CI32">
        <v>1</v>
      </c>
      <c r="CJ32">
        <v>3503</v>
      </c>
      <c r="CK32">
        <v>0</v>
      </c>
      <c r="CL32"/>
      <c r="CM32"/>
      <c r="CN32">
        <v>0.14733011400000001</v>
      </c>
      <c r="CO32">
        <v>0.99661929100000002</v>
      </c>
      <c r="CP32">
        <v>3490</v>
      </c>
      <c r="CQ32">
        <v>1</v>
      </c>
      <c r="CR32">
        <v>0.99661929100000002</v>
      </c>
      <c r="CS32">
        <v>3490</v>
      </c>
      <c r="CT32">
        <v>519177416.30000001</v>
      </c>
      <c r="CU32">
        <v>0.99661929100000002</v>
      </c>
      <c r="CV32">
        <v>3490</v>
      </c>
      <c r="CW32">
        <v>0.57258453399999998</v>
      </c>
      <c r="CX32">
        <v>0.80253345700000001</v>
      </c>
      <c r="CY32">
        <v>2742</v>
      </c>
      <c r="CZ32">
        <v>178497</v>
      </c>
      <c r="DA32">
        <v>0.80862096299999997</v>
      </c>
      <c r="DB32">
        <v>2762</v>
      </c>
      <c r="DC32">
        <v>0</v>
      </c>
      <c r="DD32"/>
      <c r="DE32"/>
      <c r="DF32" s="171" t="s">
        <v>157</v>
      </c>
      <c r="DG32" s="171" t="s">
        <v>445</v>
      </c>
    </row>
    <row r="33" spans="2:111" x14ac:dyDescent="0.35">
      <c r="B33" s="171" t="str">
        <f t="shared" si="0"/>
        <v>iBoxx EUR Corporates ESG45626</v>
      </c>
      <c r="C33">
        <v>1194</v>
      </c>
      <c r="D33" t="s">
        <v>462</v>
      </c>
      <c r="E33" t="s">
        <v>156</v>
      </c>
      <c r="F33" s="26">
        <v>45626</v>
      </c>
      <c r="G33">
        <v>3526</v>
      </c>
      <c r="H33">
        <v>0</v>
      </c>
      <c r="I33">
        <v>3526</v>
      </c>
      <c r="J33" s="27">
        <v>0</v>
      </c>
      <c r="K33" s="27">
        <v>1</v>
      </c>
      <c r="L33" t="s">
        <v>444</v>
      </c>
      <c r="M33" s="32">
        <v>17.970893480000001</v>
      </c>
      <c r="N33" s="27">
        <v>0.99593903699999997</v>
      </c>
      <c r="O33" s="133">
        <v>3510</v>
      </c>
      <c r="P33" s="32">
        <v>3.5290300810000002</v>
      </c>
      <c r="Q33">
        <v>0.99374104399999996</v>
      </c>
      <c r="R33">
        <v>3500</v>
      </c>
      <c r="S33">
        <v>8.6432518960000007</v>
      </c>
      <c r="T33">
        <v>0.99374104399999996</v>
      </c>
      <c r="U33">
        <v>3500</v>
      </c>
      <c r="V33">
        <v>5.7918787590000003</v>
      </c>
      <c r="W33">
        <v>0.99374104399999996</v>
      </c>
      <c r="X33">
        <v>3500</v>
      </c>
      <c r="Y33">
        <v>0</v>
      </c>
      <c r="Z33"/>
      <c r="AA33"/>
      <c r="AB33">
        <v>0</v>
      </c>
      <c r="AC33"/>
      <c r="AD33"/>
      <c r="AE33">
        <v>0.2096506424</v>
      </c>
      <c r="AF33">
        <v>3.1248732000000001E-2</v>
      </c>
      <c r="AG33">
        <v>111</v>
      </c>
      <c r="AH33">
        <v>0.37723366000000003</v>
      </c>
      <c r="AI33">
        <v>0.107992583</v>
      </c>
      <c r="AJ33">
        <v>397</v>
      </c>
      <c r="AK33">
        <v>0</v>
      </c>
      <c r="AL33"/>
      <c r="AM33"/>
      <c r="AN33">
        <v>0</v>
      </c>
      <c r="AO33"/>
      <c r="AP33"/>
      <c r="AQ33">
        <v>0</v>
      </c>
      <c r="AR33"/>
      <c r="AS33"/>
      <c r="AT33">
        <v>9.7302940000000004E-2</v>
      </c>
      <c r="AU33">
        <v>0.48766510200000002</v>
      </c>
      <c r="AV33">
        <v>0.41503195799999998</v>
      </c>
      <c r="AW33">
        <v>0</v>
      </c>
      <c r="AX33">
        <v>0</v>
      </c>
      <c r="AY33">
        <v>0</v>
      </c>
      <c r="AZ33"/>
      <c r="BA33"/>
      <c r="BB33"/>
      <c r="BC33"/>
      <c r="BD33"/>
      <c r="BE33"/>
      <c r="BF33"/>
      <c r="BG33"/>
      <c r="BH33"/>
      <c r="BI33"/>
      <c r="BJ33"/>
      <c r="BK33"/>
      <c r="BL33">
        <v>0.43069936599999997</v>
      </c>
      <c r="BM33">
        <v>1</v>
      </c>
      <c r="BN33">
        <v>3526</v>
      </c>
      <c r="BO33">
        <v>65.477791600000003</v>
      </c>
      <c r="BP33">
        <v>0.80655489300000005</v>
      </c>
      <c r="BQ33">
        <v>2773</v>
      </c>
      <c r="BR33">
        <v>2.3060746999999999E-2</v>
      </c>
      <c r="BS33">
        <v>4.3190000999999999E-2</v>
      </c>
      <c r="BT33">
        <v>1</v>
      </c>
      <c r="BU33">
        <v>3526</v>
      </c>
      <c r="BV33">
        <v>0.16118587000000001</v>
      </c>
      <c r="BW33">
        <v>0.16118587000000001</v>
      </c>
      <c r="BX33">
        <v>622</v>
      </c>
      <c r="BY33">
        <v>0</v>
      </c>
      <c r="BZ33">
        <v>0.99999999999982703</v>
      </c>
      <c r="CA33">
        <v>3526</v>
      </c>
      <c r="CB33">
        <v>0</v>
      </c>
      <c r="CC33">
        <v>0.99999999999982703</v>
      </c>
      <c r="CD33">
        <v>3526</v>
      </c>
      <c r="CE33">
        <v>0</v>
      </c>
      <c r="CF33">
        <v>0.99593903687402696</v>
      </c>
      <c r="CG33">
        <v>3510</v>
      </c>
      <c r="CH33">
        <v>0</v>
      </c>
      <c r="CI33">
        <v>1</v>
      </c>
      <c r="CJ33">
        <v>3526</v>
      </c>
      <c r="CK33">
        <v>0</v>
      </c>
      <c r="CL33"/>
      <c r="CM33"/>
      <c r="CN33">
        <v>0.146963283</v>
      </c>
      <c r="CO33">
        <v>0.99593903699999997</v>
      </c>
      <c r="CP33">
        <v>3510</v>
      </c>
      <c r="CQ33">
        <v>1</v>
      </c>
      <c r="CR33">
        <v>0.99593903699999997</v>
      </c>
      <c r="CS33">
        <v>3510</v>
      </c>
      <c r="CT33">
        <v>519177416.30000001</v>
      </c>
      <c r="CU33">
        <v>0.99593903699999997</v>
      </c>
      <c r="CV33">
        <v>3510</v>
      </c>
      <c r="CW33">
        <v>0.570969053</v>
      </c>
      <c r="CX33">
        <v>0.80108537899999999</v>
      </c>
      <c r="CY33">
        <v>2755</v>
      </c>
      <c r="CZ33">
        <v>179330.1</v>
      </c>
      <c r="DA33">
        <v>0.80716555800000001</v>
      </c>
      <c r="DB33">
        <v>2775</v>
      </c>
      <c r="DC33">
        <v>0</v>
      </c>
      <c r="DD33"/>
      <c r="DE33"/>
      <c r="DF33" s="171" t="s">
        <v>157</v>
      </c>
      <c r="DG33" s="171" t="s">
        <v>445</v>
      </c>
    </row>
    <row r="34" spans="2:111" x14ac:dyDescent="0.35">
      <c r="B34" s="171" t="str">
        <f t="shared" si="0"/>
        <v>iBoxx EUR High Yield Corporates ESG45596</v>
      </c>
      <c r="C34">
        <v>1207</v>
      </c>
      <c r="D34" t="s">
        <v>463</v>
      </c>
      <c r="E34" t="s">
        <v>168</v>
      </c>
      <c r="F34" s="26">
        <v>45596</v>
      </c>
      <c r="G34">
        <v>419</v>
      </c>
      <c r="H34">
        <v>0</v>
      </c>
      <c r="I34">
        <v>419</v>
      </c>
      <c r="J34" s="27">
        <v>0</v>
      </c>
      <c r="K34" s="27">
        <v>1</v>
      </c>
      <c r="L34" t="s">
        <v>444</v>
      </c>
      <c r="M34" s="32">
        <v>16.8601913</v>
      </c>
      <c r="N34" s="27">
        <v>0.947610167</v>
      </c>
      <c r="O34" s="133">
        <v>398</v>
      </c>
      <c r="P34" s="32">
        <v>4.1084345290000002</v>
      </c>
      <c r="Q34">
        <v>0.74636559300000005</v>
      </c>
      <c r="R34">
        <v>296</v>
      </c>
      <c r="S34">
        <v>7.2769015579999996</v>
      </c>
      <c r="T34">
        <v>0.74636559300000005</v>
      </c>
      <c r="U34">
        <v>296</v>
      </c>
      <c r="V34">
        <v>4.7457636250000004</v>
      </c>
      <c r="W34">
        <v>0.74636559300000005</v>
      </c>
      <c r="X34">
        <v>296</v>
      </c>
      <c r="Y34">
        <v>0</v>
      </c>
      <c r="Z34"/>
      <c r="AA34"/>
      <c r="AB34">
        <v>0</v>
      </c>
      <c r="AC34"/>
      <c r="AD34"/>
      <c r="AE34">
        <v>0.11964811060000001</v>
      </c>
      <c r="AF34">
        <v>4.3534428999999999E-2</v>
      </c>
      <c r="AG34">
        <v>18</v>
      </c>
      <c r="AH34">
        <v>0.414259396</v>
      </c>
      <c r="AI34">
        <v>0.103633515</v>
      </c>
      <c r="AJ34">
        <v>44</v>
      </c>
      <c r="AK34">
        <v>0</v>
      </c>
      <c r="AL34"/>
      <c r="AM34"/>
      <c r="AN34">
        <v>0</v>
      </c>
      <c r="AO34"/>
      <c r="AP34"/>
      <c r="AQ34">
        <v>0</v>
      </c>
      <c r="AR34"/>
      <c r="AS34"/>
      <c r="AT34">
        <v>0.15332678399999999</v>
      </c>
      <c r="AU34">
        <v>0.51509579599999999</v>
      </c>
      <c r="AV34">
        <v>0.33157742000000001</v>
      </c>
      <c r="AW34">
        <v>0</v>
      </c>
      <c r="AX34">
        <v>0</v>
      </c>
      <c r="AY34">
        <v>0</v>
      </c>
      <c r="AZ34"/>
      <c r="BA34"/>
      <c r="BB34"/>
      <c r="BC34"/>
      <c r="BD34"/>
      <c r="BE34"/>
      <c r="BF34"/>
      <c r="BG34"/>
      <c r="BH34"/>
      <c r="BI34"/>
      <c r="BJ34"/>
      <c r="BK34"/>
      <c r="BL34">
        <v>0.52446932499999999</v>
      </c>
      <c r="BM34">
        <v>1</v>
      </c>
      <c r="BN34">
        <v>419</v>
      </c>
      <c r="BO34">
        <v>110.5791655</v>
      </c>
      <c r="BP34">
        <v>0.80198837899999997</v>
      </c>
      <c r="BQ34">
        <v>336</v>
      </c>
      <c r="BR34">
        <v>4.6832697999999999E-2</v>
      </c>
      <c r="BS34">
        <v>4.7949352000000001E-2</v>
      </c>
      <c r="BT34">
        <v>1</v>
      </c>
      <c r="BU34">
        <v>419</v>
      </c>
      <c r="BV34">
        <v>0.16525672599999999</v>
      </c>
      <c r="BW34">
        <v>0.16525672599999999</v>
      </c>
      <c r="BX34">
        <v>66</v>
      </c>
      <c r="BY34">
        <v>0</v>
      </c>
      <c r="BZ34">
        <v>0.99999999999998002</v>
      </c>
      <c r="CA34">
        <v>419</v>
      </c>
      <c r="CB34">
        <v>0</v>
      </c>
      <c r="CC34">
        <v>0.99999999999998002</v>
      </c>
      <c r="CD34">
        <v>419</v>
      </c>
      <c r="CE34">
        <v>0</v>
      </c>
      <c r="CF34">
        <v>0.94761016711561996</v>
      </c>
      <c r="CG34">
        <v>398</v>
      </c>
      <c r="CH34">
        <v>0</v>
      </c>
      <c r="CI34">
        <v>1</v>
      </c>
      <c r="CJ34">
        <v>419</v>
      </c>
      <c r="CK34">
        <v>0</v>
      </c>
      <c r="CL34"/>
      <c r="CM34"/>
      <c r="CN34">
        <v>0.16059494699999999</v>
      </c>
      <c r="CO34">
        <v>0.947610167</v>
      </c>
      <c r="CP34">
        <v>398</v>
      </c>
      <c r="CQ34">
        <v>0</v>
      </c>
      <c r="CR34">
        <v>0.947610167</v>
      </c>
      <c r="CS34">
        <v>398</v>
      </c>
      <c r="CT34">
        <v>205161.3</v>
      </c>
      <c r="CU34">
        <v>0.947610167</v>
      </c>
      <c r="CV34">
        <v>398</v>
      </c>
      <c r="CW34">
        <v>0.49965451999999999</v>
      </c>
      <c r="CX34">
        <v>0.79753037699999996</v>
      </c>
      <c r="CY34">
        <v>334</v>
      </c>
      <c r="CZ34">
        <v>20845.8</v>
      </c>
      <c r="DA34">
        <v>0.80198837899999997</v>
      </c>
      <c r="DB34">
        <v>336</v>
      </c>
      <c r="DC34">
        <v>0</v>
      </c>
      <c r="DD34"/>
      <c r="DE34"/>
      <c r="DF34" s="171" t="s">
        <v>169</v>
      </c>
      <c r="DG34" s="171" t="s">
        <v>445</v>
      </c>
    </row>
    <row r="35" spans="2:111" x14ac:dyDescent="0.35">
      <c r="B35" s="171" t="str">
        <f t="shared" si="0"/>
        <v>iBoxx EUR High Yield Corporates ESG45626</v>
      </c>
      <c r="C35">
        <v>1432</v>
      </c>
      <c r="D35" t="s">
        <v>463</v>
      </c>
      <c r="E35" t="s">
        <v>168</v>
      </c>
      <c r="F35" s="26">
        <v>45626</v>
      </c>
      <c r="G35">
        <v>409</v>
      </c>
      <c r="H35">
        <v>0</v>
      </c>
      <c r="I35">
        <v>409</v>
      </c>
      <c r="J35" s="27">
        <v>0</v>
      </c>
      <c r="K35" s="27">
        <v>1</v>
      </c>
      <c r="L35" t="s">
        <v>444</v>
      </c>
      <c r="M35" s="32">
        <v>16.79428089</v>
      </c>
      <c r="N35" s="27">
        <v>0.94987761699999995</v>
      </c>
      <c r="O35" s="133">
        <v>389</v>
      </c>
      <c r="P35" s="32">
        <v>4.1180853879999999</v>
      </c>
      <c r="Q35">
        <v>0.74158643800000001</v>
      </c>
      <c r="R35">
        <v>286</v>
      </c>
      <c r="S35">
        <v>7.2055138970000003</v>
      </c>
      <c r="T35">
        <v>0.74158643800000001</v>
      </c>
      <c r="U35">
        <v>286</v>
      </c>
      <c r="V35">
        <v>4.6756148839999998</v>
      </c>
      <c r="W35">
        <v>0.74158643800000001</v>
      </c>
      <c r="X35">
        <v>286</v>
      </c>
      <c r="Y35">
        <v>0</v>
      </c>
      <c r="Z35"/>
      <c r="AA35"/>
      <c r="AB35">
        <v>0</v>
      </c>
      <c r="AC35"/>
      <c r="AD35"/>
      <c r="AE35">
        <v>0.1313590154</v>
      </c>
      <c r="AF35">
        <v>4.5332101E-2</v>
      </c>
      <c r="AG35">
        <v>19</v>
      </c>
      <c r="AH35">
        <v>0.41432307800000001</v>
      </c>
      <c r="AI35">
        <v>0.10552073300000001</v>
      </c>
      <c r="AJ35">
        <v>44</v>
      </c>
      <c r="AK35">
        <v>0</v>
      </c>
      <c r="AL35"/>
      <c r="AM35"/>
      <c r="AN35">
        <v>0</v>
      </c>
      <c r="AO35"/>
      <c r="AP35"/>
      <c r="AQ35">
        <v>0</v>
      </c>
      <c r="AR35"/>
      <c r="AS35"/>
      <c r="AT35">
        <v>0.16304069600000001</v>
      </c>
      <c r="AU35">
        <v>0.49670305399999998</v>
      </c>
      <c r="AV35">
        <v>0.34025625100000001</v>
      </c>
      <c r="AW35">
        <v>0</v>
      </c>
      <c r="AX35">
        <v>0</v>
      </c>
      <c r="AY35">
        <v>0</v>
      </c>
      <c r="AZ35"/>
      <c r="BA35"/>
      <c r="BB35"/>
      <c r="BC35"/>
      <c r="BD35"/>
      <c r="BE35"/>
      <c r="BF35"/>
      <c r="BG35"/>
      <c r="BH35"/>
      <c r="BI35"/>
      <c r="BJ35"/>
      <c r="BK35"/>
      <c r="BL35">
        <v>0.52227426700000001</v>
      </c>
      <c r="BM35">
        <v>1</v>
      </c>
      <c r="BN35">
        <v>409</v>
      </c>
      <c r="BO35">
        <v>109.3247626</v>
      </c>
      <c r="BP35">
        <v>0.79286553800000004</v>
      </c>
      <c r="BQ35">
        <v>324</v>
      </c>
      <c r="BR35">
        <v>4.6306330999999999E-2</v>
      </c>
      <c r="BS35">
        <v>4.0858335000000003E-2</v>
      </c>
      <c r="BT35">
        <v>1</v>
      </c>
      <c r="BU35">
        <v>409</v>
      </c>
      <c r="BV35">
        <v>0.165115499</v>
      </c>
      <c r="BW35">
        <v>0.165115499</v>
      </c>
      <c r="BX35">
        <v>66</v>
      </c>
      <c r="BY35">
        <v>0</v>
      </c>
      <c r="BZ35">
        <v>0.99999999999998201</v>
      </c>
      <c r="CA35">
        <v>409</v>
      </c>
      <c r="CB35">
        <v>0</v>
      </c>
      <c r="CC35">
        <v>0.99999999999998201</v>
      </c>
      <c r="CD35">
        <v>409</v>
      </c>
      <c r="CE35">
        <v>0</v>
      </c>
      <c r="CF35">
        <v>0.94987761725126396</v>
      </c>
      <c r="CG35">
        <v>389</v>
      </c>
      <c r="CH35">
        <v>0</v>
      </c>
      <c r="CI35">
        <v>1</v>
      </c>
      <c r="CJ35">
        <v>409</v>
      </c>
      <c r="CK35">
        <v>0</v>
      </c>
      <c r="CL35"/>
      <c r="CM35"/>
      <c r="CN35">
        <v>0.15080944299999999</v>
      </c>
      <c r="CO35">
        <v>0.94987761699999995</v>
      </c>
      <c r="CP35">
        <v>389</v>
      </c>
      <c r="CQ35">
        <v>0</v>
      </c>
      <c r="CR35">
        <v>0.94987761699999995</v>
      </c>
      <c r="CS35">
        <v>389</v>
      </c>
      <c r="CT35">
        <v>205161.3</v>
      </c>
      <c r="CU35">
        <v>0.94987761699999995</v>
      </c>
      <c r="CV35">
        <v>389</v>
      </c>
      <c r="CW35">
        <v>0.49816723200000002</v>
      </c>
      <c r="CX35">
        <v>0.78967251299999996</v>
      </c>
      <c r="CY35">
        <v>323</v>
      </c>
      <c r="CZ35">
        <v>20187.2</v>
      </c>
      <c r="DA35">
        <v>0.79286553800000004</v>
      </c>
      <c r="DB35">
        <v>324</v>
      </c>
      <c r="DC35">
        <v>0</v>
      </c>
      <c r="DD35"/>
      <c r="DE35"/>
      <c r="DF35" s="171" t="s">
        <v>169</v>
      </c>
      <c r="DG35" s="171" t="s">
        <v>445</v>
      </c>
    </row>
    <row r="36" spans="2:111" x14ac:dyDescent="0.35">
      <c r="B36" s="171" t="str">
        <f t="shared" si="0"/>
        <v>iBoxx EUR Corporates SRI Screened45596</v>
      </c>
      <c r="C36">
        <v>1439</v>
      </c>
      <c r="D36" t="s">
        <v>464</v>
      </c>
      <c r="E36" t="s">
        <v>164</v>
      </c>
      <c r="F36" s="26">
        <v>45596</v>
      </c>
      <c r="G36">
        <v>3613</v>
      </c>
      <c r="H36">
        <v>0</v>
      </c>
      <c r="I36">
        <v>3613</v>
      </c>
      <c r="J36" s="27">
        <v>0</v>
      </c>
      <c r="K36" s="27">
        <v>1</v>
      </c>
      <c r="L36" t="s">
        <v>444</v>
      </c>
      <c r="M36" s="32">
        <v>18.423533920000001</v>
      </c>
      <c r="N36" s="27">
        <v>0.993282161</v>
      </c>
      <c r="O36" s="133">
        <v>3583</v>
      </c>
      <c r="P36" s="32">
        <v>3.8201652739999998</v>
      </c>
      <c r="Q36">
        <v>0.99066602400000003</v>
      </c>
      <c r="R36">
        <v>3571</v>
      </c>
      <c r="S36">
        <v>8.7484517989999997</v>
      </c>
      <c r="T36">
        <v>0.99066602400000003</v>
      </c>
      <c r="U36">
        <v>3571</v>
      </c>
      <c r="V36">
        <v>5.8379063120000003</v>
      </c>
      <c r="W36">
        <v>0.99066602400000003</v>
      </c>
      <c r="X36">
        <v>3571</v>
      </c>
      <c r="Y36">
        <v>0</v>
      </c>
      <c r="Z36"/>
      <c r="AA36"/>
      <c r="AB36">
        <v>0</v>
      </c>
      <c r="AC36"/>
      <c r="AD36"/>
      <c r="AE36">
        <v>0.20479287960000001</v>
      </c>
      <c r="AF36">
        <v>3.0719129000000001E-2</v>
      </c>
      <c r="AG36">
        <v>113</v>
      </c>
      <c r="AH36">
        <v>0.36219363399999999</v>
      </c>
      <c r="AI36">
        <v>0.11934320599999999</v>
      </c>
      <c r="AJ36">
        <v>442</v>
      </c>
      <c r="AK36">
        <v>0</v>
      </c>
      <c r="AL36"/>
      <c r="AM36"/>
      <c r="AN36">
        <v>0</v>
      </c>
      <c r="AO36"/>
      <c r="AP36"/>
      <c r="AQ36">
        <v>0</v>
      </c>
      <c r="AR36"/>
      <c r="AS36"/>
      <c r="AT36">
        <v>9.8595773999999997E-2</v>
      </c>
      <c r="AU36">
        <v>0.46234958199999998</v>
      </c>
      <c r="AV36">
        <v>0.40909453299999998</v>
      </c>
      <c r="AW36">
        <v>2.4761818000000001E-2</v>
      </c>
      <c r="AX36">
        <v>1.468011E-3</v>
      </c>
      <c r="AY36">
        <v>3.7302809999999998E-3</v>
      </c>
      <c r="AZ36"/>
      <c r="BA36"/>
      <c r="BB36"/>
      <c r="BC36"/>
      <c r="BD36"/>
      <c r="BE36"/>
      <c r="BF36"/>
      <c r="BG36"/>
      <c r="BH36"/>
      <c r="BI36"/>
      <c r="BJ36"/>
      <c r="BK36"/>
      <c r="BL36">
        <v>0.43821258400000002</v>
      </c>
      <c r="BM36">
        <v>1</v>
      </c>
      <c r="BN36">
        <v>3613</v>
      </c>
      <c r="BO36">
        <v>67.916831540000004</v>
      </c>
      <c r="BP36">
        <v>0.80663252200000002</v>
      </c>
      <c r="BQ36">
        <v>2836</v>
      </c>
      <c r="BR36">
        <v>2.3205527E-2</v>
      </c>
      <c r="BS36">
        <v>5.2888016000000003E-2</v>
      </c>
      <c r="BT36">
        <v>1</v>
      </c>
      <c r="BU36">
        <v>3613</v>
      </c>
      <c r="BV36">
        <v>0.157340059</v>
      </c>
      <c r="BW36">
        <v>0.157340059</v>
      </c>
      <c r="BX36">
        <v>624</v>
      </c>
      <c r="BY36">
        <v>0</v>
      </c>
      <c r="BZ36">
        <v>0.99999999999982003</v>
      </c>
      <c r="CA36">
        <v>3613</v>
      </c>
      <c r="CB36">
        <v>0</v>
      </c>
      <c r="CC36">
        <v>0.99999999999982003</v>
      </c>
      <c r="CD36">
        <v>3613</v>
      </c>
      <c r="CE36">
        <v>0</v>
      </c>
      <c r="CF36">
        <v>0.99552891121826703</v>
      </c>
      <c r="CG36">
        <v>3594</v>
      </c>
      <c r="CH36">
        <v>0</v>
      </c>
      <c r="CI36">
        <v>1</v>
      </c>
      <c r="CJ36">
        <v>3613</v>
      </c>
      <c r="CK36">
        <v>0</v>
      </c>
      <c r="CL36"/>
      <c r="CM36"/>
      <c r="CN36">
        <v>0.149972522</v>
      </c>
      <c r="CO36">
        <v>0.993701995</v>
      </c>
      <c r="CP36">
        <v>3585</v>
      </c>
      <c r="CQ36">
        <v>4</v>
      </c>
      <c r="CR36">
        <v>0.99552891099999996</v>
      </c>
      <c r="CS36">
        <v>3594</v>
      </c>
      <c r="CT36">
        <v>519569288.69999999</v>
      </c>
      <c r="CU36">
        <v>0.99552891099999996</v>
      </c>
      <c r="CV36">
        <v>3594</v>
      </c>
      <c r="CW36">
        <v>0.57550701400000004</v>
      </c>
      <c r="CX36">
        <v>0.80172318499999995</v>
      </c>
      <c r="CY36">
        <v>2820</v>
      </c>
      <c r="CZ36">
        <v>183347.1</v>
      </c>
      <c r="DA36">
        <v>0.80788220399999999</v>
      </c>
      <c r="DB36">
        <v>2841</v>
      </c>
      <c r="DC36">
        <v>0</v>
      </c>
      <c r="DD36"/>
      <c r="DE36"/>
      <c r="DF36" s="171" t="s">
        <v>165</v>
      </c>
      <c r="DG36" s="171" t="s">
        <v>445</v>
      </c>
    </row>
    <row r="37" spans="2:111" x14ac:dyDescent="0.35">
      <c r="B37" s="171" t="str">
        <f t="shared" si="0"/>
        <v>iBoxx EUR Corporates SRI Screened45626</v>
      </c>
      <c r="C37">
        <v>2153</v>
      </c>
      <c r="D37" t="s">
        <v>464</v>
      </c>
      <c r="E37" t="s">
        <v>164</v>
      </c>
      <c r="F37" s="26">
        <v>45626</v>
      </c>
      <c r="G37">
        <v>3629</v>
      </c>
      <c r="H37">
        <v>0</v>
      </c>
      <c r="I37">
        <v>3629</v>
      </c>
      <c r="J37" s="27">
        <v>0</v>
      </c>
      <c r="K37" s="27">
        <v>1</v>
      </c>
      <c r="L37" t="s">
        <v>444</v>
      </c>
      <c r="M37" s="32">
        <v>18.390854210000001</v>
      </c>
      <c r="N37" s="27">
        <v>0.99343348600000003</v>
      </c>
      <c r="O37" s="133">
        <v>3600</v>
      </c>
      <c r="P37" s="32">
        <v>3.8367914889999999</v>
      </c>
      <c r="Q37">
        <v>0.99062958000000001</v>
      </c>
      <c r="R37">
        <v>3587</v>
      </c>
      <c r="S37">
        <v>8.7241111650000001</v>
      </c>
      <c r="T37">
        <v>0.99062958000000001</v>
      </c>
      <c r="U37">
        <v>3587</v>
      </c>
      <c r="V37">
        <v>5.8138505250000003</v>
      </c>
      <c r="W37">
        <v>0.99062958000000001</v>
      </c>
      <c r="X37">
        <v>3587</v>
      </c>
      <c r="Y37">
        <v>0</v>
      </c>
      <c r="Z37"/>
      <c r="AA37"/>
      <c r="AB37">
        <v>0</v>
      </c>
      <c r="AC37"/>
      <c r="AD37"/>
      <c r="AE37">
        <v>0.20864505590000001</v>
      </c>
      <c r="AF37">
        <v>3.1024175000000001E-2</v>
      </c>
      <c r="AG37">
        <v>114</v>
      </c>
      <c r="AH37">
        <v>0.36607841400000002</v>
      </c>
      <c r="AI37">
        <v>0.12028926</v>
      </c>
      <c r="AJ37">
        <v>446</v>
      </c>
      <c r="AK37">
        <v>0</v>
      </c>
      <c r="AL37"/>
      <c r="AM37"/>
      <c r="AN37">
        <v>0</v>
      </c>
      <c r="AO37"/>
      <c r="AP37"/>
      <c r="AQ37">
        <v>0</v>
      </c>
      <c r="AR37"/>
      <c r="AS37"/>
      <c r="AT37">
        <v>9.4521348000000005E-2</v>
      </c>
      <c r="AU37">
        <v>0.47372425800000001</v>
      </c>
      <c r="AV37">
        <v>0.40316583499999997</v>
      </c>
      <c r="AW37">
        <v>2.3931306999999999E-2</v>
      </c>
      <c r="AX37">
        <v>9.4575599999999996E-4</v>
      </c>
      <c r="AY37">
        <v>3.711495E-3</v>
      </c>
      <c r="AZ37"/>
      <c r="BA37"/>
      <c r="BB37"/>
      <c r="BC37"/>
      <c r="BD37"/>
      <c r="BE37"/>
      <c r="BF37"/>
      <c r="BG37"/>
      <c r="BH37"/>
      <c r="BI37"/>
      <c r="BJ37"/>
      <c r="BK37"/>
      <c r="BL37">
        <v>0.44219388399999998</v>
      </c>
      <c r="BM37">
        <v>1</v>
      </c>
      <c r="BN37">
        <v>3629</v>
      </c>
      <c r="BO37">
        <v>67.809199750000005</v>
      </c>
      <c r="BP37">
        <v>0.80620926100000001</v>
      </c>
      <c r="BQ37">
        <v>2848</v>
      </c>
      <c r="BR37">
        <v>2.3070258E-2</v>
      </c>
      <c r="BS37">
        <v>5.4170097E-2</v>
      </c>
      <c r="BT37">
        <v>1</v>
      </c>
      <c r="BU37">
        <v>3629</v>
      </c>
      <c r="BV37">
        <v>0.15944647300000001</v>
      </c>
      <c r="BW37">
        <v>0.15944647300000001</v>
      </c>
      <c r="BX37">
        <v>635</v>
      </c>
      <c r="BY37">
        <v>0</v>
      </c>
      <c r="BZ37">
        <v>0.99999999999982003</v>
      </c>
      <c r="CA37">
        <v>3629</v>
      </c>
      <c r="CB37">
        <v>0</v>
      </c>
      <c r="CC37">
        <v>0.99999999999982003</v>
      </c>
      <c r="CD37">
        <v>3629</v>
      </c>
      <c r="CE37">
        <v>0</v>
      </c>
      <c r="CF37">
        <v>0.99567455834898599</v>
      </c>
      <c r="CG37">
        <v>3611</v>
      </c>
      <c r="CH37">
        <v>0</v>
      </c>
      <c r="CI37">
        <v>1</v>
      </c>
      <c r="CJ37">
        <v>3629</v>
      </c>
      <c r="CK37">
        <v>0</v>
      </c>
      <c r="CL37"/>
      <c r="CM37"/>
      <c r="CN37">
        <v>0.14965009300000001</v>
      </c>
      <c r="CO37">
        <v>0.99385006600000003</v>
      </c>
      <c r="CP37">
        <v>3602</v>
      </c>
      <c r="CQ37">
        <v>4</v>
      </c>
      <c r="CR37">
        <v>0.99567455800000004</v>
      </c>
      <c r="CS37">
        <v>3611</v>
      </c>
      <c r="CT37">
        <v>519569288.69999999</v>
      </c>
      <c r="CU37">
        <v>0.99567455800000004</v>
      </c>
      <c r="CV37">
        <v>3611</v>
      </c>
      <c r="CW37">
        <v>0.57483519000000005</v>
      </c>
      <c r="CX37">
        <v>0.80131072299999995</v>
      </c>
      <c r="CY37">
        <v>2832</v>
      </c>
      <c r="CZ37">
        <v>184172.1</v>
      </c>
      <c r="DA37">
        <v>0.80746850100000001</v>
      </c>
      <c r="DB37">
        <v>2853</v>
      </c>
      <c r="DC37">
        <v>0</v>
      </c>
      <c r="DD37"/>
      <c r="DE37"/>
      <c r="DF37" s="171" t="s">
        <v>165</v>
      </c>
      <c r="DG37" s="171" t="s">
        <v>445</v>
      </c>
    </row>
    <row r="38" spans="2:111" x14ac:dyDescent="0.35">
      <c r="B38" s="171" t="str">
        <f t="shared" si="0"/>
        <v>iBoxx EUR High Yield Corporates SRI Screened45596</v>
      </c>
      <c r="C38">
        <v>2623</v>
      </c>
      <c r="D38" t="s">
        <v>465</v>
      </c>
      <c r="E38" t="s">
        <v>170</v>
      </c>
      <c r="F38" s="26">
        <v>45596</v>
      </c>
      <c r="G38">
        <v>436</v>
      </c>
      <c r="H38">
        <v>0</v>
      </c>
      <c r="I38">
        <v>436</v>
      </c>
      <c r="J38" s="27">
        <v>0</v>
      </c>
      <c r="K38" s="27">
        <v>1</v>
      </c>
      <c r="L38" t="s">
        <v>444</v>
      </c>
      <c r="M38" s="32">
        <v>17.383590460000001</v>
      </c>
      <c r="N38" s="27">
        <v>0.94146439699999995</v>
      </c>
      <c r="O38" s="133">
        <v>411</v>
      </c>
      <c r="P38" s="32">
        <v>4.3873588669999997</v>
      </c>
      <c r="Q38">
        <v>0.73364859900000001</v>
      </c>
      <c r="R38">
        <v>304</v>
      </c>
      <c r="S38">
        <v>7.4019890210000003</v>
      </c>
      <c r="T38">
        <v>0.73364859900000001</v>
      </c>
      <c r="U38">
        <v>304</v>
      </c>
      <c r="V38">
        <v>4.7308916380000001</v>
      </c>
      <c r="W38">
        <v>0.73364859900000001</v>
      </c>
      <c r="X38">
        <v>304</v>
      </c>
      <c r="Y38">
        <v>0</v>
      </c>
      <c r="Z38"/>
      <c r="AA38"/>
      <c r="AB38">
        <v>0</v>
      </c>
      <c r="AC38"/>
      <c r="AD38"/>
      <c r="AE38">
        <v>0.11964811060000001</v>
      </c>
      <c r="AF38">
        <v>4.1798592000000002E-2</v>
      </c>
      <c r="AG38">
        <v>18</v>
      </c>
      <c r="AH38">
        <v>0.41442803099999997</v>
      </c>
      <c r="AI38">
        <v>0.10392828799999999</v>
      </c>
      <c r="AJ38">
        <v>46</v>
      </c>
      <c r="AK38">
        <v>0</v>
      </c>
      <c r="AL38"/>
      <c r="AM38"/>
      <c r="AN38">
        <v>0</v>
      </c>
      <c r="AO38"/>
      <c r="AP38"/>
      <c r="AQ38">
        <v>0</v>
      </c>
      <c r="AR38"/>
      <c r="AS38"/>
      <c r="AT38">
        <v>0.147213227</v>
      </c>
      <c r="AU38">
        <v>0.494557523</v>
      </c>
      <c r="AV38">
        <v>0.31835652399999997</v>
      </c>
      <c r="AW38">
        <v>2.6099319999999999E-2</v>
      </c>
      <c r="AX38">
        <v>4.8034250000000001E-3</v>
      </c>
      <c r="AY38">
        <v>8.9699800000000007E-3</v>
      </c>
      <c r="AZ38"/>
      <c r="BA38"/>
      <c r="BB38"/>
      <c r="BC38"/>
      <c r="BD38"/>
      <c r="BE38"/>
      <c r="BF38"/>
      <c r="BG38"/>
      <c r="BH38"/>
      <c r="BI38"/>
      <c r="BJ38"/>
      <c r="BK38"/>
      <c r="BL38">
        <v>0.51715834299999996</v>
      </c>
      <c r="BM38">
        <v>1</v>
      </c>
      <c r="BN38">
        <v>436</v>
      </c>
      <c r="BO38">
        <v>109.90961</v>
      </c>
      <c r="BP38">
        <v>0.780771942</v>
      </c>
      <c r="BQ38">
        <v>341</v>
      </c>
      <c r="BR38">
        <v>4.4965350000000001E-2</v>
      </c>
      <c r="BS38">
        <v>4.6037480999999998E-2</v>
      </c>
      <c r="BT38">
        <v>1</v>
      </c>
      <c r="BU38">
        <v>436</v>
      </c>
      <c r="BV38">
        <v>0.16104280900000001</v>
      </c>
      <c r="BW38">
        <v>0.16104280900000001</v>
      </c>
      <c r="BX38">
        <v>67</v>
      </c>
      <c r="BY38">
        <v>0</v>
      </c>
      <c r="BZ38">
        <v>0.99999999999998002</v>
      </c>
      <c r="CA38">
        <v>436</v>
      </c>
      <c r="CB38">
        <v>0</v>
      </c>
      <c r="CC38">
        <v>0.99999999999998002</v>
      </c>
      <c r="CD38">
        <v>436</v>
      </c>
      <c r="CE38">
        <v>0</v>
      </c>
      <c r="CF38">
        <v>0.94146439715572605</v>
      </c>
      <c r="CG38">
        <v>411</v>
      </c>
      <c r="CH38">
        <v>0</v>
      </c>
      <c r="CI38">
        <v>1</v>
      </c>
      <c r="CJ38">
        <v>436</v>
      </c>
      <c r="CK38">
        <v>0</v>
      </c>
      <c r="CL38"/>
      <c r="CM38"/>
      <c r="CN38">
        <v>0.173590407</v>
      </c>
      <c r="CO38">
        <v>0.94146439699999995</v>
      </c>
      <c r="CP38">
        <v>411</v>
      </c>
      <c r="CQ38">
        <v>0</v>
      </c>
      <c r="CR38">
        <v>0.94146439699999995</v>
      </c>
      <c r="CS38">
        <v>411</v>
      </c>
      <c r="CT38">
        <v>205161.3</v>
      </c>
      <c r="CU38">
        <v>0.94146439699999995</v>
      </c>
      <c r="CV38">
        <v>411</v>
      </c>
      <c r="CW38">
        <v>0.483807771</v>
      </c>
      <c r="CX38">
        <v>0.77649169299999998</v>
      </c>
      <c r="CY38">
        <v>339</v>
      </c>
      <c r="CZ38">
        <v>21054.799999999999</v>
      </c>
      <c r="DA38">
        <v>0.77596851700000002</v>
      </c>
      <c r="DB38">
        <v>339</v>
      </c>
      <c r="DC38">
        <v>0</v>
      </c>
      <c r="DD38"/>
      <c r="DE38"/>
      <c r="DF38" s="171" t="s">
        <v>171</v>
      </c>
      <c r="DG38" s="171" t="s">
        <v>445</v>
      </c>
    </row>
    <row r="39" spans="2:111" x14ac:dyDescent="0.35">
      <c r="B39" s="171" t="str">
        <f t="shared" si="0"/>
        <v>iBoxx EUR High Yield Corporates SRI Screened45626</v>
      </c>
      <c r="C39">
        <v>3368</v>
      </c>
      <c r="D39" t="s">
        <v>465</v>
      </c>
      <c r="E39" t="s">
        <v>170</v>
      </c>
      <c r="F39" s="26">
        <v>45626</v>
      </c>
      <c r="G39">
        <v>427</v>
      </c>
      <c r="H39">
        <v>0</v>
      </c>
      <c r="I39">
        <v>427</v>
      </c>
      <c r="J39" s="27">
        <v>0</v>
      </c>
      <c r="K39" s="27">
        <v>1</v>
      </c>
      <c r="L39" t="s">
        <v>444</v>
      </c>
      <c r="M39" s="32">
        <v>17.367460449999999</v>
      </c>
      <c r="N39" s="27">
        <v>0.94166602099999996</v>
      </c>
      <c r="O39" s="133">
        <v>402</v>
      </c>
      <c r="P39" s="32">
        <v>4.4208062750000003</v>
      </c>
      <c r="Q39">
        <v>0.728165917</v>
      </c>
      <c r="R39">
        <v>294</v>
      </c>
      <c r="S39">
        <v>7.3581864240000003</v>
      </c>
      <c r="T39">
        <v>0.728165917</v>
      </c>
      <c r="U39">
        <v>294</v>
      </c>
      <c r="V39">
        <v>4.6928013760000002</v>
      </c>
      <c r="W39">
        <v>0.728165917</v>
      </c>
      <c r="X39">
        <v>294</v>
      </c>
      <c r="Y39">
        <v>0</v>
      </c>
      <c r="Z39"/>
      <c r="AA39"/>
      <c r="AB39">
        <v>0</v>
      </c>
      <c r="AC39"/>
      <c r="AD39"/>
      <c r="AE39">
        <v>0.1313590154</v>
      </c>
      <c r="AF39">
        <v>4.3462489E-2</v>
      </c>
      <c r="AG39">
        <v>19</v>
      </c>
      <c r="AH39">
        <v>0.41459373999999999</v>
      </c>
      <c r="AI39">
        <v>0.105672269</v>
      </c>
      <c r="AJ39">
        <v>46</v>
      </c>
      <c r="AK39">
        <v>0</v>
      </c>
      <c r="AL39"/>
      <c r="AM39"/>
      <c r="AN39">
        <v>0</v>
      </c>
      <c r="AO39"/>
      <c r="AP39"/>
      <c r="AQ39">
        <v>0</v>
      </c>
      <c r="AR39"/>
      <c r="AS39"/>
      <c r="AT39">
        <v>0.15631648000000001</v>
      </c>
      <c r="AU39">
        <v>0.47615929400000001</v>
      </c>
      <c r="AV39">
        <v>0.32622321199999998</v>
      </c>
      <c r="AW39">
        <v>2.6188316999999999E-2</v>
      </c>
      <c r="AX39">
        <v>1.2351607000000001E-2</v>
      </c>
      <c r="AY39">
        <v>2.761089E-3</v>
      </c>
      <c r="AZ39"/>
      <c r="BA39"/>
      <c r="BB39"/>
      <c r="BC39"/>
      <c r="BD39"/>
      <c r="BE39"/>
      <c r="BF39"/>
      <c r="BG39"/>
      <c r="BH39"/>
      <c r="BI39"/>
      <c r="BJ39"/>
      <c r="BK39"/>
      <c r="BL39">
        <v>0.51624908700000005</v>
      </c>
      <c r="BM39">
        <v>1</v>
      </c>
      <c r="BN39">
        <v>427</v>
      </c>
      <c r="BO39">
        <v>111.6248252</v>
      </c>
      <c r="BP39">
        <v>0.77738859000000005</v>
      </c>
      <c r="BQ39">
        <v>332</v>
      </c>
      <c r="BR39">
        <v>4.4396539999999998E-2</v>
      </c>
      <c r="BS39">
        <v>4.5493065999999999E-2</v>
      </c>
      <c r="BT39">
        <v>1</v>
      </c>
      <c r="BU39">
        <v>427</v>
      </c>
      <c r="BV39">
        <v>0.16257333700000001</v>
      </c>
      <c r="BW39">
        <v>0.16257333700000001</v>
      </c>
      <c r="BX39">
        <v>68</v>
      </c>
      <c r="BY39">
        <v>0</v>
      </c>
      <c r="BZ39">
        <v>0.99999999999998002</v>
      </c>
      <c r="CA39">
        <v>427</v>
      </c>
      <c r="CB39">
        <v>0</v>
      </c>
      <c r="CC39">
        <v>0.99999999999998002</v>
      </c>
      <c r="CD39">
        <v>427</v>
      </c>
      <c r="CE39">
        <v>0</v>
      </c>
      <c r="CF39">
        <v>0.941666021447082</v>
      </c>
      <c r="CG39">
        <v>402</v>
      </c>
      <c r="CH39">
        <v>0</v>
      </c>
      <c r="CI39">
        <v>1</v>
      </c>
      <c r="CJ39">
        <v>427</v>
      </c>
      <c r="CK39">
        <v>0</v>
      </c>
      <c r="CL39"/>
      <c r="CM39"/>
      <c r="CN39">
        <v>0.16322298700000001</v>
      </c>
      <c r="CO39">
        <v>0.94166602099999996</v>
      </c>
      <c r="CP39">
        <v>402</v>
      </c>
      <c r="CQ39">
        <v>0</v>
      </c>
      <c r="CR39">
        <v>0.94166602099999996</v>
      </c>
      <c r="CS39">
        <v>402</v>
      </c>
      <c r="CT39">
        <v>205161.3</v>
      </c>
      <c r="CU39">
        <v>0.94166602099999996</v>
      </c>
      <c r="CV39">
        <v>402</v>
      </c>
      <c r="CW39">
        <v>0.48564078300000002</v>
      </c>
      <c r="CX39">
        <v>0.77432725400000002</v>
      </c>
      <c r="CY39">
        <v>331</v>
      </c>
      <c r="CZ39">
        <v>20564.900000000001</v>
      </c>
      <c r="DA39">
        <v>0.77255466500000003</v>
      </c>
      <c r="DB39">
        <v>330</v>
      </c>
      <c r="DC39">
        <v>0</v>
      </c>
      <c r="DD39"/>
      <c r="DE39"/>
      <c r="DF39" s="171" t="s">
        <v>171</v>
      </c>
      <c r="DG39" s="171" t="s">
        <v>445</v>
      </c>
    </row>
    <row r="40" spans="2:111" x14ac:dyDescent="0.35">
      <c r="B40" s="171" t="str">
        <f t="shared" si="0"/>
        <v>iBoxx EUR Non-Financials Senior ESG Custom45596</v>
      </c>
      <c r="C40">
        <v>3758</v>
      </c>
      <c r="D40" t="s">
        <v>466</v>
      </c>
      <c r="E40" t="s">
        <v>172</v>
      </c>
      <c r="F40" s="26">
        <v>45596</v>
      </c>
      <c r="G40">
        <v>166</v>
      </c>
      <c r="H40">
        <v>0</v>
      </c>
      <c r="I40">
        <v>166</v>
      </c>
      <c r="J40" s="27">
        <v>0</v>
      </c>
      <c r="K40" s="27">
        <v>1</v>
      </c>
      <c r="L40" t="s">
        <v>444</v>
      </c>
      <c r="M40" s="32">
        <v>19.98337532</v>
      </c>
      <c r="N40" s="27">
        <v>1</v>
      </c>
      <c r="O40" s="133">
        <v>166</v>
      </c>
      <c r="P40" s="32">
        <v>5.5763685000000001</v>
      </c>
      <c r="Q40">
        <v>1</v>
      </c>
      <c r="R40">
        <v>166</v>
      </c>
      <c r="S40">
        <v>8.5836397610000006</v>
      </c>
      <c r="T40">
        <v>1</v>
      </c>
      <c r="U40">
        <v>166</v>
      </c>
      <c r="V40">
        <v>5.8233670609999999</v>
      </c>
      <c r="W40">
        <v>1</v>
      </c>
      <c r="X40">
        <v>166</v>
      </c>
      <c r="Y40">
        <v>0</v>
      </c>
      <c r="Z40"/>
      <c r="AA40"/>
      <c r="AB40">
        <v>0</v>
      </c>
      <c r="AC40"/>
      <c r="AD40"/>
      <c r="AE40">
        <v>6.7481493510000004E-2</v>
      </c>
      <c r="AF40">
        <v>1.6070948000000002E-2</v>
      </c>
      <c r="AG40">
        <v>3</v>
      </c>
      <c r="AH40">
        <v>0.14419401000000001</v>
      </c>
      <c r="AI40">
        <v>0.11962790600000001</v>
      </c>
      <c r="AJ40">
        <v>20</v>
      </c>
      <c r="AK40">
        <v>0</v>
      </c>
      <c r="AL40"/>
      <c r="AM40"/>
      <c r="AN40">
        <v>0</v>
      </c>
      <c r="AO40"/>
      <c r="AP40"/>
      <c r="AQ40">
        <v>0</v>
      </c>
      <c r="AR40"/>
      <c r="AS40"/>
      <c r="AT40">
        <v>4.2254330999999999E-2</v>
      </c>
      <c r="AU40">
        <v>0.43660781900000001</v>
      </c>
      <c r="AV40">
        <v>0.48347934799999998</v>
      </c>
      <c r="AW40">
        <v>3.7658502000000003E-2</v>
      </c>
      <c r="AX40">
        <v>0</v>
      </c>
      <c r="AY40">
        <v>0</v>
      </c>
      <c r="AZ40"/>
      <c r="BA40"/>
      <c r="BB40"/>
      <c r="BC40"/>
      <c r="BD40"/>
      <c r="BE40"/>
      <c r="BF40"/>
      <c r="BG40"/>
      <c r="BH40"/>
      <c r="BI40"/>
      <c r="BJ40"/>
      <c r="BK40"/>
      <c r="BL40">
        <v>0.60043917599999996</v>
      </c>
      <c r="BM40">
        <v>1</v>
      </c>
      <c r="BN40">
        <v>166</v>
      </c>
      <c r="BO40">
        <v>58.990181540000002</v>
      </c>
      <c r="BP40">
        <v>0.73993000099999995</v>
      </c>
      <c r="BQ40">
        <v>121</v>
      </c>
      <c r="BR40" s="28">
        <v>0</v>
      </c>
      <c r="BS40">
        <v>5.9289394000000002E-2</v>
      </c>
      <c r="BT40">
        <v>1</v>
      </c>
      <c r="BU40">
        <v>166</v>
      </c>
      <c r="BV40">
        <v>0.146640411</v>
      </c>
      <c r="BW40">
        <v>0.146640411</v>
      </c>
      <c r="BX40">
        <v>24</v>
      </c>
      <c r="BY40">
        <v>0</v>
      </c>
      <c r="BZ40">
        <v>0.99999999999999201</v>
      </c>
      <c r="CA40">
        <v>166</v>
      </c>
      <c r="CB40">
        <v>0</v>
      </c>
      <c r="CC40">
        <v>0.99999999999999201</v>
      </c>
      <c r="CD40">
        <v>166</v>
      </c>
      <c r="CE40">
        <v>0</v>
      </c>
      <c r="CF40">
        <v>0.99999999999999201</v>
      </c>
      <c r="CG40">
        <v>166</v>
      </c>
      <c r="CH40">
        <v>0</v>
      </c>
      <c r="CI40">
        <v>1</v>
      </c>
      <c r="CJ40">
        <v>166</v>
      </c>
      <c r="CK40">
        <v>0</v>
      </c>
      <c r="CL40"/>
      <c r="CM40"/>
      <c r="CN40">
        <v>0.19592361899999999</v>
      </c>
      <c r="CO40">
        <v>1</v>
      </c>
      <c r="CP40">
        <v>166</v>
      </c>
      <c r="CQ40">
        <v>1</v>
      </c>
      <c r="CR40">
        <v>1</v>
      </c>
      <c r="CS40">
        <v>166</v>
      </c>
      <c r="CT40">
        <v>205161.3</v>
      </c>
      <c r="CU40">
        <v>1</v>
      </c>
      <c r="CV40">
        <v>166</v>
      </c>
      <c r="CW40">
        <v>0.45657464800000003</v>
      </c>
      <c r="CX40">
        <v>0.73993000099999995</v>
      </c>
      <c r="CY40">
        <v>121</v>
      </c>
      <c r="CZ40">
        <v>6334.8</v>
      </c>
      <c r="DA40">
        <v>0.73993000099999995</v>
      </c>
      <c r="DB40">
        <v>121</v>
      </c>
      <c r="DC40">
        <v>0</v>
      </c>
      <c r="DD40"/>
      <c r="DE40"/>
      <c r="DF40" s="171" t="s">
        <v>173</v>
      </c>
      <c r="DG40" s="171" t="s">
        <v>445</v>
      </c>
    </row>
    <row r="41" spans="2:111" x14ac:dyDescent="0.35">
      <c r="B41" s="171" t="str">
        <f t="shared" si="0"/>
        <v>iBoxx EUR Non-Financials Senior ESG Custom45626</v>
      </c>
      <c r="C41">
        <v>8129</v>
      </c>
      <c r="D41" t="s">
        <v>466</v>
      </c>
      <c r="E41" t="s">
        <v>172</v>
      </c>
      <c r="F41" s="26">
        <v>45626</v>
      </c>
      <c r="G41">
        <v>162</v>
      </c>
      <c r="H41">
        <v>0</v>
      </c>
      <c r="I41">
        <v>162</v>
      </c>
      <c r="J41" s="27">
        <v>0</v>
      </c>
      <c r="K41" s="27">
        <v>1</v>
      </c>
      <c r="L41" t="s">
        <v>444</v>
      </c>
      <c r="M41" s="32">
        <v>19.978110019999999</v>
      </c>
      <c r="N41" s="27">
        <v>1</v>
      </c>
      <c r="O41" s="133">
        <v>162</v>
      </c>
      <c r="P41" s="32">
        <v>5.5652671409999996</v>
      </c>
      <c r="Q41">
        <v>1</v>
      </c>
      <c r="R41">
        <v>162</v>
      </c>
      <c r="S41">
        <v>8.5888594260000009</v>
      </c>
      <c r="T41">
        <v>1</v>
      </c>
      <c r="U41">
        <v>162</v>
      </c>
      <c r="V41">
        <v>5.8239834559999997</v>
      </c>
      <c r="W41">
        <v>1</v>
      </c>
      <c r="X41">
        <v>162</v>
      </c>
      <c r="Y41">
        <v>0</v>
      </c>
      <c r="Z41"/>
      <c r="AA41"/>
      <c r="AB41">
        <v>0</v>
      </c>
      <c r="AC41"/>
      <c r="AD41"/>
      <c r="AE41">
        <v>6.7663526559999992E-2</v>
      </c>
      <c r="AF41">
        <v>1.6403279999999999E-2</v>
      </c>
      <c r="AG41">
        <v>3</v>
      </c>
      <c r="AH41">
        <v>0.150748084</v>
      </c>
      <c r="AI41">
        <v>0.11591109600000001</v>
      </c>
      <c r="AJ41">
        <v>19</v>
      </c>
      <c r="AK41">
        <v>0</v>
      </c>
      <c r="AL41"/>
      <c r="AM41"/>
      <c r="AN41">
        <v>0</v>
      </c>
      <c r="AO41"/>
      <c r="AP41"/>
      <c r="AQ41">
        <v>0</v>
      </c>
      <c r="AR41"/>
      <c r="AS41"/>
      <c r="AT41">
        <v>3.9099319E-2</v>
      </c>
      <c r="AU41">
        <v>0.41800335</v>
      </c>
      <c r="AV41">
        <v>0.50438081599999995</v>
      </c>
      <c r="AW41">
        <v>3.8516515000000001E-2</v>
      </c>
      <c r="AX41">
        <v>0</v>
      </c>
      <c r="AY41">
        <v>0</v>
      </c>
      <c r="AZ41"/>
      <c r="BA41"/>
      <c r="BB41"/>
      <c r="BC41"/>
      <c r="BD41"/>
      <c r="BE41"/>
      <c r="BF41"/>
      <c r="BG41"/>
      <c r="BH41"/>
      <c r="BI41"/>
      <c r="BJ41"/>
      <c r="BK41"/>
      <c r="BL41">
        <v>0.59086397499999999</v>
      </c>
      <c r="BM41">
        <v>1</v>
      </c>
      <c r="BN41">
        <v>162</v>
      </c>
      <c r="BO41">
        <v>61.174589879999999</v>
      </c>
      <c r="BP41">
        <v>0.72186589199999995</v>
      </c>
      <c r="BQ41">
        <v>116</v>
      </c>
      <c r="BR41" s="28">
        <v>0</v>
      </c>
      <c r="BS41">
        <v>6.0525715000000001E-2</v>
      </c>
      <c r="BT41">
        <v>1</v>
      </c>
      <c r="BU41">
        <v>162</v>
      </c>
      <c r="BV41">
        <v>0.162311557</v>
      </c>
      <c r="BW41">
        <v>0.162311557</v>
      </c>
      <c r="BX41">
        <v>26</v>
      </c>
      <c r="BY41">
        <v>0</v>
      </c>
      <c r="BZ41">
        <v>0.99999999999999201</v>
      </c>
      <c r="CA41">
        <v>162</v>
      </c>
      <c r="CB41">
        <v>0</v>
      </c>
      <c r="CC41">
        <v>0.99999999999999201</v>
      </c>
      <c r="CD41">
        <v>162</v>
      </c>
      <c r="CE41">
        <v>0</v>
      </c>
      <c r="CF41">
        <v>0.99999999999999201</v>
      </c>
      <c r="CG41">
        <v>162</v>
      </c>
      <c r="CH41">
        <v>0</v>
      </c>
      <c r="CI41">
        <v>1</v>
      </c>
      <c r="CJ41">
        <v>162</v>
      </c>
      <c r="CK41">
        <v>0</v>
      </c>
      <c r="CL41"/>
      <c r="CM41"/>
      <c r="CN41">
        <v>0.208657489</v>
      </c>
      <c r="CO41">
        <v>1</v>
      </c>
      <c r="CP41">
        <v>162</v>
      </c>
      <c r="CQ41">
        <v>1</v>
      </c>
      <c r="CR41">
        <v>1</v>
      </c>
      <c r="CS41">
        <v>162</v>
      </c>
      <c r="CT41">
        <v>205161.3</v>
      </c>
      <c r="CU41">
        <v>1</v>
      </c>
      <c r="CV41">
        <v>162</v>
      </c>
      <c r="CW41">
        <v>0.44725372800000002</v>
      </c>
      <c r="CX41">
        <v>0.72186589199999995</v>
      </c>
      <c r="CY41">
        <v>116</v>
      </c>
      <c r="CZ41">
        <v>6058.5</v>
      </c>
      <c r="DA41">
        <v>0.72186589199999995</v>
      </c>
      <c r="DB41">
        <v>116</v>
      </c>
      <c r="DC41">
        <v>0</v>
      </c>
      <c r="DD41"/>
      <c r="DE41"/>
      <c r="DF41" s="171" t="s">
        <v>173</v>
      </c>
      <c r="DG41" s="171" t="s">
        <v>445</v>
      </c>
    </row>
    <row r="42" spans="2:111" x14ac:dyDescent="0.35">
      <c r="B42" s="171" t="str">
        <f t="shared" si="0"/>
        <v>iBoxx Global Sustainability-Linked Bonds45596</v>
      </c>
      <c r="C42">
        <v>8162</v>
      </c>
      <c r="D42" t="s">
        <v>467</v>
      </c>
      <c r="E42" t="s">
        <v>198</v>
      </c>
      <c r="F42" s="26">
        <v>45596</v>
      </c>
      <c r="G42">
        <v>228</v>
      </c>
      <c r="H42">
        <v>5</v>
      </c>
      <c r="I42">
        <v>223</v>
      </c>
      <c r="J42" s="27">
        <v>5.3004411000000001E-2</v>
      </c>
      <c r="K42" s="27">
        <v>0.94699558900000003</v>
      </c>
      <c r="L42" t="s">
        <v>451</v>
      </c>
      <c r="M42" s="32">
        <v>21.789265960000002</v>
      </c>
      <c r="N42" s="27">
        <v>0.90270614500000002</v>
      </c>
      <c r="O42" s="133">
        <v>201</v>
      </c>
      <c r="P42" s="32">
        <v>9.9811525069999991</v>
      </c>
      <c r="Q42">
        <v>0.82070920000000003</v>
      </c>
      <c r="R42">
        <v>172</v>
      </c>
      <c r="S42">
        <v>11.35257212</v>
      </c>
      <c r="T42">
        <v>0.82070920000000003</v>
      </c>
      <c r="U42">
        <v>172</v>
      </c>
      <c r="V42">
        <v>8.3560526569999993</v>
      </c>
      <c r="W42">
        <v>0.82070920000000003</v>
      </c>
      <c r="X42">
        <v>172</v>
      </c>
      <c r="Y42">
        <v>36.474321930000002</v>
      </c>
      <c r="Z42">
        <v>5.3004411000000001E-2</v>
      </c>
      <c r="AA42">
        <v>5</v>
      </c>
      <c r="AB42">
        <v>69.763090439999999</v>
      </c>
      <c r="AC42">
        <v>5.3004411000000001E-2</v>
      </c>
      <c r="AD42">
        <v>5</v>
      </c>
      <c r="AE42">
        <v>0.1131307881</v>
      </c>
      <c r="AF42">
        <v>3.1865918E-2</v>
      </c>
      <c r="AG42">
        <v>6</v>
      </c>
      <c r="AH42">
        <v>0.56370820600000004</v>
      </c>
      <c r="AI42">
        <v>0.30339042500000002</v>
      </c>
      <c r="AJ42">
        <v>62</v>
      </c>
      <c r="AK42">
        <v>60.144837780000003</v>
      </c>
      <c r="AL42">
        <v>5.3004411000000001E-2</v>
      </c>
      <c r="AM42">
        <v>5</v>
      </c>
      <c r="AN42">
        <v>63.682996119999999</v>
      </c>
      <c r="AO42">
        <v>5.3004411000000001E-2</v>
      </c>
      <c r="AP42">
        <v>5</v>
      </c>
      <c r="AQ42">
        <v>517.98471700000005</v>
      </c>
      <c r="AR42">
        <v>5.3004411000000001E-2</v>
      </c>
      <c r="AS42">
        <v>5</v>
      </c>
      <c r="AT42">
        <v>8.9753754000000005E-2</v>
      </c>
      <c r="AU42">
        <v>0.53446685599999999</v>
      </c>
      <c r="AV42">
        <v>0.234617362</v>
      </c>
      <c r="AW42">
        <v>4.6313987000000001E-2</v>
      </c>
      <c r="AX42">
        <v>2.2023619000000001E-2</v>
      </c>
      <c r="AY42">
        <v>7.2824422E-2</v>
      </c>
      <c r="AZ42"/>
      <c r="BA42">
        <v>5.3004411000000001E-2</v>
      </c>
      <c r="BB42">
        <v>5</v>
      </c>
      <c r="BC42"/>
      <c r="BD42">
        <v>5.3004411000000001E-2</v>
      </c>
      <c r="BE42">
        <v>5</v>
      </c>
      <c r="BF42"/>
      <c r="BG42">
        <v>5.3004411000000001E-2</v>
      </c>
      <c r="BH42">
        <v>5</v>
      </c>
      <c r="BI42"/>
      <c r="BJ42">
        <v>5.3004411000000001E-2</v>
      </c>
      <c r="BK42">
        <v>5</v>
      </c>
      <c r="BL42">
        <v>0.79774248999999997</v>
      </c>
      <c r="BM42">
        <v>0.94699558900000003</v>
      </c>
      <c r="BN42">
        <v>223</v>
      </c>
      <c r="BO42">
        <v>276.7062032</v>
      </c>
      <c r="BP42">
        <v>0.73328209099999997</v>
      </c>
      <c r="BQ42">
        <v>166</v>
      </c>
      <c r="BR42">
        <v>1.1869447999999999E-2</v>
      </c>
      <c r="BS42">
        <v>5.7043215000000001E-2</v>
      </c>
      <c r="BT42">
        <v>0.94699558900000003</v>
      </c>
      <c r="BU42">
        <v>223</v>
      </c>
      <c r="BV42">
        <v>5.5285880000000001E-3</v>
      </c>
      <c r="BW42">
        <v>5.5285880000000001E-3</v>
      </c>
      <c r="BX42">
        <v>2</v>
      </c>
      <c r="BY42">
        <v>3.2148665560321E-3</v>
      </c>
      <c r="BZ42">
        <v>0.99999999999999101</v>
      </c>
      <c r="CA42">
        <v>228</v>
      </c>
      <c r="CB42">
        <v>0</v>
      </c>
      <c r="CC42">
        <v>0.99999999999999101</v>
      </c>
      <c r="CD42">
        <v>228</v>
      </c>
      <c r="CE42">
        <v>0</v>
      </c>
      <c r="CF42">
        <v>0.84970173383855296</v>
      </c>
      <c r="CG42">
        <v>196</v>
      </c>
      <c r="CH42">
        <v>0</v>
      </c>
      <c r="CI42">
        <v>1</v>
      </c>
      <c r="CJ42">
        <v>228</v>
      </c>
      <c r="CK42">
        <v>88.624323889999999</v>
      </c>
      <c r="CL42">
        <v>5.3004411000000001E-2</v>
      </c>
      <c r="CM42">
        <v>5</v>
      </c>
      <c r="CN42">
        <v>0.120184609</v>
      </c>
      <c r="CO42">
        <v>0.84970173400000004</v>
      </c>
      <c r="CP42">
        <v>196</v>
      </c>
      <c r="CQ42">
        <v>0</v>
      </c>
      <c r="CR42">
        <v>0.84970173400000004</v>
      </c>
      <c r="CS42">
        <v>196</v>
      </c>
      <c r="CT42">
        <v>205161.3</v>
      </c>
      <c r="CU42">
        <v>0.84970173400000004</v>
      </c>
      <c r="CV42">
        <v>196</v>
      </c>
      <c r="CW42">
        <v>0.53244808700000001</v>
      </c>
      <c r="CX42">
        <v>0.750821081</v>
      </c>
      <c r="CY42">
        <v>169</v>
      </c>
      <c r="CZ42">
        <v>10397.700000000001</v>
      </c>
      <c r="DA42">
        <v>0.72074745100000004</v>
      </c>
      <c r="DB42">
        <v>163</v>
      </c>
      <c r="DC42">
        <v>70.099802890000007</v>
      </c>
      <c r="DD42">
        <v>5.3004411000000001E-2</v>
      </c>
      <c r="DE42">
        <v>5</v>
      </c>
      <c r="DF42" s="171" t="s">
        <v>199</v>
      </c>
      <c r="DG42" s="171" t="s">
        <v>445</v>
      </c>
    </row>
    <row r="43" spans="2:111" x14ac:dyDescent="0.35">
      <c r="B43" s="171" t="str">
        <f t="shared" si="0"/>
        <v>iBoxx Global Sustainability-Linked Bonds45626</v>
      </c>
      <c r="C43">
        <v>9988</v>
      </c>
      <c r="D43" t="s">
        <v>467</v>
      </c>
      <c r="E43" t="s">
        <v>198</v>
      </c>
      <c r="F43" s="26">
        <v>45626</v>
      </c>
      <c r="G43">
        <v>227</v>
      </c>
      <c r="H43">
        <v>5</v>
      </c>
      <c r="I43">
        <v>222</v>
      </c>
      <c r="J43" s="27">
        <v>5.4147517999999999E-2</v>
      </c>
      <c r="K43" s="27">
        <v>0.94585248200000005</v>
      </c>
      <c r="L43" t="s">
        <v>451</v>
      </c>
      <c r="M43" s="32">
        <v>21.85133931</v>
      </c>
      <c r="N43" s="27">
        <v>0.902995039</v>
      </c>
      <c r="O43" s="133">
        <v>200</v>
      </c>
      <c r="P43" s="32">
        <v>10.066286939999999</v>
      </c>
      <c r="Q43">
        <v>0.82000361099999997</v>
      </c>
      <c r="R43">
        <v>171</v>
      </c>
      <c r="S43">
        <v>11.416911689999999</v>
      </c>
      <c r="T43">
        <v>0.82000361099999997</v>
      </c>
      <c r="U43">
        <v>171</v>
      </c>
      <c r="V43">
        <v>8.4490627230000008</v>
      </c>
      <c r="W43">
        <v>0.82000361099999997</v>
      </c>
      <c r="X43">
        <v>171</v>
      </c>
      <c r="Y43">
        <v>38.695809650000001</v>
      </c>
      <c r="Z43">
        <v>5.4147517999999999E-2</v>
      </c>
      <c r="AA43">
        <v>5</v>
      </c>
      <c r="AB43">
        <v>69.757358319999994</v>
      </c>
      <c r="AC43">
        <v>5.4147517999999999E-2</v>
      </c>
      <c r="AD43">
        <v>5</v>
      </c>
      <c r="AE43">
        <v>0.11287095280000001</v>
      </c>
      <c r="AF43">
        <v>3.1861647999999999E-2</v>
      </c>
      <c r="AG43">
        <v>6</v>
      </c>
      <c r="AH43">
        <v>0.57114936900000002</v>
      </c>
      <c r="AI43">
        <v>0.299050704</v>
      </c>
      <c r="AJ43">
        <v>61</v>
      </c>
      <c r="AK43">
        <v>60.125691310000001</v>
      </c>
      <c r="AL43">
        <v>5.4147517999999999E-2</v>
      </c>
      <c r="AM43">
        <v>5</v>
      </c>
      <c r="AN43">
        <v>63.681577009999998</v>
      </c>
      <c r="AO43">
        <v>5.4147517999999999E-2</v>
      </c>
      <c r="AP43">
        <v>5</v>
      </c>
      <c r="AQ43">
        <v>517.82088899999997</v>
      </c>
      <c r="AR43">
        <v>5.4147517999999999E-2</v>
      </c>
      <c r="AS43">
        <v>5</v>
      </c>
      <c r="AT43">
        <v>8.5865256000000001E-2</v>
      </c>
      <c r="AU43">
        <v>0.5298157</v>
      </c>
      <c r="AV43">
        <v>0.243110312</v>
      </c>
      <c r="AW43">
        <v>4.1804371E-2</v>
      </c>
      <c r="AX43">
        <v>2.7024836999999999E-2</v>
      </c>
      <c r="AY43">
        <v>7.2379524000000001E-2</v>
      </c>
      <c r="AZ43"/>
      <c r="BA43">
        <v>5.4147517999999999E-2</v>
      </c>
      <c r="BB43">
        <v>5</v>
      </c>
      <c r="BC43"/>
      <c r="BD43">
        <v>5.4147517999999999E-2</v>
      </c>
      <c r="BE43">
        <v>5</v>
      </c>
      <c r="BF43"/>
      <c r="BG43">
        <v>5.4147517999999999E-2</v>
      </c>
      <c r="BH43">
        <v>5</v>
      </c>
      <c r="BI43"/>
      <c r="BJ43">
        <v>5.4147517999999999E-2</v>
      </c>
      <c r="BK43">
        <v>5</v>
      </c>
      <c r="BL43">
        <v>0.79580885899999998</v>
      </c>
      <c r="BM43">
        <v>0.94585248200000005</v>
      </c>
      <c r="BN43">
        <v>222</v>
      </c>
      <c r="BO43">
        <v>275.09792570000002</v>
      </c>
      <c r="BP43">
        <v>0.73114358599999996</v>
      </c>
      <c r="BQ43">
        <v>165</v>
      </c>
      <c r="BR43">
        <v>1.1878216E-2</v>
      </c>
      <c r="BS43">
        <v>5.7458242999999999E-2</v>
      </c>
      <c r="BT43">
        <v>0.94585248200000005</v>
      </c>
      <c r="BU43">
        <v>222</v>
      </c>
      <c r="BV43">
        <v>5.6830869999999999E-3</v>
      </c>
      <c r="BW43">
        <v>5.6830869999999999E-3</v>
      </c>
      <c r="BX43">
        <v>2</v>
      </c>
      <c r="BY43">
        <v>3.3006233778766002E-3</v>
      </c>
      <c r="BZ43">
        <v>0.99999999999998901</v>
      </c>
      <c r="CA43">
        <v>227</v>
      </c>
      <c r="CB43">
        <v>0</v>
      </c>
      <c r="CC43">
        <v>0.99999999999998901</v>
      </c>
      <c r="CD43">
        <v>227</v>
      </c>
      <c r="CE43">
        <v>0</v>
      </c>
      <c r="CF43">
        <v>0.84884752084357296</v>
      </c>
      <c r="CG43">
        <v>195</v>
      </c>
      <c r="CH43">
        <v>0</v>
      </c>
      <c r="CI43">
        <v>1</v>
      </c>
      <c r="CJ43">
        <v>227</v>
      </c>
      <c r="CK43">
        <v>88.624764319999997</v>
      </c>
      <c r="CL43">
        <v>5.4147517999999999E-2</v>
      </c>
      <c r="CM43">
        <v>5</v>
      </c>
      <c r="CN43">
        <v>0.121286534</v>
      </c>
      <c r="CO43">
        <v>0.84884752100000005</v>
      </c>
      <c r="CP43">
        <v>195</v>
      </c>
      <c r="CQ43">
        <v>0</v>
      </c>
      <c r="CR43">
        <v>0.84884752100000005</v>
      </c>
      <c r="CS43">
        <v>195</v>
      </c>
      <c r="CT43">
        <v>205161.3</v>
      </c>
      <c r="CU43">
        <v>0.84884752100000005</v>
      </c>
      <c r="CV43">
        <v>195</v>
      </c>
      <c r="CW43">
        <v>0.52845187800000004</v>
      </c>
      <c r="CX43">
        <v>0.74866219300000003</v>
      </c>
      <c r="CY43">
        <v>168</v>
      </c>
      <c r="CZ43">
        <v>10331</v>
      </c>
      <c r="DA43">
        <v>0.71872089699999997</v>
      </c>
      <c r="DB43">
        <v>162</v>
      </c>
      <c r="DC43">
        <v>70.08843134</v>
      </c>
      <c r="DD43">
        <v>5.4147517999999999E-2</v>
      </c>
      <c r="DE43">
        <v>5</v>
      </c>
      <c r="DF43" s="171" t="s">
        <v>199</v>
      </c>
      <c r="DG43" s="171" t="s">
        <v>445</v>
      </c>
    </row>
    <row r="44" spans="2:111" x14ac:dyDescent="0.35">
      <c r="B44" s="171" t="str">
        <f t="shared" si="0"/>
        <v>iBoxx Contingent Convertible Liquid Developed Europe AT145596</v>
      </c>
      <c r="C44">
        <v>11982</v>
      </c>
      <c r="D44" t="s">
        <v>468</v>
      </c>
      <c r="E44" t="s">
        <v>152</v>
      </c>
      <c r="F44" s="26">
        <v>45596</v>
      </c>
      <c r="G44">
        <v>150</v>
      </c>
      <c r="H44">
        <v>0</v>
      </c>
      <c r="I44">
        <v>150</v>
      </c>
      <c r="J44" s="27">
        <v>0</v>
      </c>
      <c r="K44" s="27">
        <v>1</v>
      </c>
      <c r="L44" t="s">
        <v>444</v>
      </c>
      <c r="M44" s="32">
        <v>19.31245423</v>
      </c>
      <c r="N44" s="27">
        <v>1</v>
      </c>
      <c r="O44" s="133">
        <v>150</v>
      </c>
      <c r="P44" s="32">
        <v>0.97122642400000003</v>
      </c>
      <c r="Q44">
        <v>1</v>
      </c>
      <c r="R44">
        <v>150</v>
      </c>
      <c r="S44">
        <v>10.27270876</v>
      </c>
      <c r="T44">
        <v>1</v>
      </c>
      <c r="U44">
        <v>150</v>
      </c>
      <c r="V44">
        <v>8.0685190480000006</v>
      </c>
      <c r="W44">
        <v>1</v>
      </c>
      <c r="X44">
        <v>150</v>
      </c>
      <c r="Y44">
        <v>0</v>
      </c>
      <c r="Z44"/>
      <c r="AA44"/>
      <c r="AB44">
        <v>0</v>
      </c>
      <c r="AC44"/>
      <c r="AD44"/>
      <c r="AE44">
        <v>0.31970695979999997</v>
      </c>
      <c r="AF44">
        <v>0.138091929</v>
      </c>
      <c r="AG44">
        <v>18</v>
      </c>
      <c r="AH44" s="234" t="s">
        <v>460</v>
      </c>
      <c r="AI44">
        <v>0</v>
      </c>
      <c r="AJ44">
        <v>0</v>
      </c>
      <c r="AK44">
        <v>0</v>
      </c>
      <c r="AL44"/>
      <c r="AM44"/>
      <c r="AN44">
        <v>0</v>
      </c>
      <c r="AO44"/>
      <c r="AP44"/>
      <c r="AQ44">
        <v>0</v>
      </c>
      <c r="AR44"/>
      <c r="AS44"/>
      <c r="AT44">
        <v>7.9039204000000002E-2</v>
      </c>
      <c r="AU44">
        <v>0.37548602199999997</v>
      </c>
      <c r="AV44">
        <v>0.545474774</v>
      </c>
      <c r="AW44">
        <v>0</v>
      </c>
      <c r="AX44">
        <v>0</v>
      </c>
      <c r="AY44">
        <v>0</v>
      </c>
      <c r="AZ44"/>
      <c r="BA44"/>
      <c r="BB44"/>
      <c r="BC44"/>
      <c r="BD44"/>
      <c r="BE44"/>
      <c r="BF44"/>
      <c r="BG44"/>
      <c r="BH44"/>
      <c r="BI44"/>
      <c r="BJ44"/>
      <c r="BK44"/>
      <c r="BL44">
        <v>0</v>
      </c>
      <c r="BM44">
        <v>1</v>
      </c>
      <c r="BN44">
        <v>150</v>
      </c>
      <c r="BO44">
        <v>0.86133221900000001</v>
      </c>
      <c r="BP44">
        <v>0.95489939099999999</v>
      </c>
      <c r="BQ44">
        <v>143</v>
      </c>
      <c r="BR44">
        <v>4.4999999999999998E-2</v>
      </c>
      <c r="BS44">
        <v>0</v>
      </c>
      <c r="BT44">
        <v>1</v>
      </c>
      <c r="BU44">
        <v>150</v>
      </c>
      <c r="BV44">
        <v>0</v>
      </c>
      <c r="BW44" s="234" t="s">
        <v>460</v>
      </c>
      <c r="BX44" s="234" t="s">
        <v>460</v>
      </c>
      <c r="BY44">
        <v>0</v>
      </c>
      <c r="BZ44">
        <v>0.99999999999999301</v>
      </c>
      <c r="CA44">
        <v>150</v>
      </c>
      <c r="CB44">
        <v>0</v>
      </c>
      <c r="CC44">
        <v>0.99999999999999301</v>
      </c>
      <c r="CD44">
        <v>150</v>
      </c>
      <c r="CE44">
        <v>0</v>
      </c>
      <c r="CF44">
        <v>0.99999999999999301</v>
      </c>
      <c r="CG44">
        <v>150</v>
      </c>
      <c r="CH44">
        <v>0</v>
      </c>
      <c r="CI44">
        <v>1</v>
      </c>
      <c r="CJ44">
        <v>150</v>
      </c>
      <c r="CK44">
        <v>0</v>
      </c>
      <c r="CL44"/>
      <c r="CM44"/>
      <c r="CN44">
        <v>0.11660055800000001</v>
      </c>
      <c r="CO44">
        <v>1</v>
      </c>
      <c r="CP44">
        <v>150</v>
      </c>
      <c r="CQ44">
        <v>0</v>
      </c>
      <c r="CR44">
        <v>1</v>
      </c>
      <c r="CS44">
        <v>150</v>
      </c>
      <c r="CT44">
        <v>0</v>
      </c>
      <c r="CU44">
        <v>1</v>
      </c>
      <c r="CV44">
        <v>150</v>
      </c>
      <c r="CW44">
        <v>0.76988327199999995</v>
      </c>
      <c r="CX44">
        <v>0.95489939099999999</v>
      </c>
      <c r="CY44">
        <v>143</v>
      </c>
      <c r="CZ44">
        <v>9498.4</v>
      </c>
      <c r="DA44">
        <v>0.95489939099999999</v>
      </c>
      <c r="DB44">
        <v>143</v>
      </c>
      <c r="DC44">
        <v>0</v>
      </c>
      <c r="DD44"/>
      <c r="DE44"/>
      <c r="DF44" s="171" t="s">
        <v>153</v>
      </c>
      <c r="DG44" s="171" t="s">
        <v>445</v>
      </c>
    </row>
    <row r="45" spans="2:111" x14ac:dyDescent="0.35">
      <c r="B45" s="171" t="str">
        <f t="shared" si="0"/>
        <v>iBoxx Contingent Convertible Liquid Developed Europe AT145626</v>
      </c>
      <c r="C45">
        <v>20804</v>
      </c>
      <c r="D45" t="s">
        <v>468</v>
      </c>
      <c r="E45" t="s">
        <v>152</v>
      </c>
      <c r="F45" s="26">
        <v>45626</v>
      </c>
      <c r="G45">
        <v>151</v>
      </c>
      <c r="H45">
        <v>0</v>
      </c>
      <c r="I45">
        <v>151</v>
      </c>
      <c r="J45" s="27">
        <v>0</v>
      </c>
      <c r="K45" s="27">
        <v>1</v>
      </c>
      <c r="L45" t="s">
        <v>444</v>
      </c>
      <c r="M45" s="32">
        <v>19.368847280000001</v>
      </c>
      <c r="N45" s="27">
        <v>1</v>
      </c>
      <c r="O45" s="133">
        <v>151</v>
      </c>
      <c r="P45" s="32">
        <v>0.97981569999999996</v>
      </c>
      <c r="Q45">
        <v>1</v>
      </c>
      <c r="R45">
        <v>151</v>
      </c>
      <c r="S45">
        <v>10.28900969</v>
      </c>
      <c r="T45">
        <v>1</v>
      </c>
      <c r="U45">
        <v>151</v>
      </c>
      <c r="V45">
        <v>8.1000218929999992</v>
      </c>
      <c r="W45">
        <v>1</v>
      </c>
      <c r="X45">
        <v>151</v>
      </c>
      <c r="Y45">
        <v>0</v>
      </c>
      <c r="Z45"/>
      <c r="AA45"/>
      <c r="AB45">
        <v>0</v>
      </c>
      <c r="AC45"/>
      <c r="AD45"/>
      <c r="AE45">
        <v>0.31976696960000001</v>
      </c>
      <c r="AF45">
        <v>0.13800491400000001</v>
      </c>
      <c r="AG45">
        <v>18</v>
      </c>
      <c r="AH45" s="234" t="s">
        <v>460</v>
      </c>
      <c r="AI45">
        <v>0</v>
      </c>
      <c r="AJ45">
        <v>0</v>
      </c>
      <c r="AK45">
        <v>0</v>
      </c>
      <c r="AL45"/>
      <c r="AM45"/>
      <c r="AN45">
        <v>0</v>
      </c>
      <c r="AO45"/>
      <c r="AP45"/>
      <c r="AQ45">
        <v>0</v>
      </c>
      <c r="AR45"/>
      <c r="AS45"/>
      <c r="AT45">
        <v>6.7439610999999997E-2</v>
      </c>
      <c r="AU45">
        <v>0.431658771</v>
      </c>
      <c r="AV45">
        <v>0.50090161899999996</v>
      </c>
      <c r="AW45">
        <v>0</v>
      </c>
      <c r="AX45">
        <v>0</v>
      </c>
      <c r="AY45">
        <v>0</v>
      </c>
      <c r="AZ45"/>
      <c r="BA45"/>
      <c r="BB45"/>
      <c r="BC45"/>
      <c r="BD45"/>
      <c r="BE45"/>
      <c r="BF45"/>
      <c r="BG45"/>
      <c r="BH45"/>
      <c r="BI45"/>
      <c r="BJ45"/>
      <c r="BK45"/>
      <c r="BL45">
        <v>0</v>
      </c>
      <c r="BM45">
        <v>1</v>
      </c>
      <c r="BN45">
        <v>151</v>
      </c>
      <c r="BO45">
        <v>0.87343183300000005</v>
      </c>
      <c r="BP45">
        <v>0.95542854399999999</v>
      </c>
      <c r="BQ45">
        <v>144</v>
      </c>
      <c r="BR45">
        <v>4.4999999999999998E-2</v>
      </c>
      <c r="BS45">
        <v>0</v>
      </c>
      <c r="BT45">
        <v>1</v>
      </c>
      <c r="BU45">
        <v>151</v>
      </c>
      <c r="BV45">
        <v>0</v>
      </c>
      <c r="BW45" s="234" t="s">
        <v>460</v>
      </c>
      <c r="BX45" s="234" t="s">
        <v>460</v>
      </c>
      <c r="BY45">
        <v>0</v>
      </c>
      <c r="BZ45">
        <v>0.99999999999999301</v>
      </c>
      <c r="CA45">
        <v>151</v>
      </c>
      <c r="CB45">
        <v>0</v>
      </c>
      <c r="CC45">
        <v>0.99999999999999301</v>
      </c>
      <c r="CD45">
        <v>151</v>
      </c>
      <c r="CE45">
        <v>0</v>
      </c>
      <c r="CF45">
        <v>0.99999999999999301</v>
      </c>
      <c r="CG45">
        <v>151</v>
      </c>
      <c r="CH45">
        <v>0</v>
      </c>
      <c r="CI45">
        <v>1</v>
      </c>
      <c r="CJ45">
        <v>151</v>
      </c>
      <c r="CK45">
        <v>0</v>
      </c>
      <c r="CL45"/>
      <c r="CM45"/>
      <c r="CN45">
        <v>0.115970564</v>
      </c>
      <c r="CO45">
        <v>1</v>
      </c>
      <c r="CP45">
        <v>151</v>
      </c>
      <c r="CQ45">
        <v>0</v>
      </c>
      <c r="CR45">
        <v>1</v>
      </c>
      <c r="CS45">
        <v>151</v>
      </c>
      <c r="CT45">
        <v>0</v>
      </c>
      <c r="CU45">
        <v>1</v>
      </c>
      <c r="CV45">
        <v>151</v>
      </c>
      <c r="CW45">
        <v>0.76015603099999995</v>
      </c>
      <c r="CX45">
        <v>0.95542854399999999</v>
      </c>
      <c r="CY45">
        <v>144</v>
      </c>
      <c r="CZ45">
        <v>9551.7000000000007</v>
      </c>
      <c r="DA45">
        <v>0.95542854399999999</v>
      </c>
      <c r="DB45">
        <v>144</v>
      </c>
      <c r="DC45">
        <v>0</v>
      </c>
      <c r="DD45"/>
      <c r="DE45"/>
      <c r="DF45" s="171" t="s">
        <v>153</v>
      </c>
      <c r="DG45" s="171" t="s">
        <v>445</v>
      </c>
    </row>
    <row r="46" spans="2:111" x14ac:dyDescent="0.35">
      <c r="B46" s="171" t="str">
        <f t="shared" si="0"/>
        <v>iBoxx SD-KPI USD Corporates45596</v>
      </c>
      <c r="C46">
        <v>47795</v>
      </c>
      <c r="D46" t="s">
        <v>469</v>
      </c>
      <c r="E46" t="s">
        <v>255</v>
      </c>
      <c r="F46" s="26">
        <v>45596</v>
      </c>
      <c r="G46">
        <v>8255</v>
      </c>
      <c r="H46">
        <v>0</v>
      </c>
      <c r="I46">
        <v>8255</v>
      </c>
      <c r="J46" s="27">
        <v>0</v>
      </c>
      <c r="K46" s="27">
        <v>1</v>
      </c>
      <c r="L46" t="s">
        <v>444</v>
      </c>
      <c r="M46" s="32">
        <v>21.99122792</v>
      </c>
      <c r="N46" s="27">
        <v>0.92389945399999995</v>
      </c>
      <c r="O46" s="133">
        <v>7349</v>
      </c>
      <c r="P46" s="32">
        <v>4.4239465830000002</v>
      </c>
      <c r="Q46">
        <v>0.89562988799999999</v>
      </c>
      <c r="R46">
        <v>6952</v>
      </c>
      <c r="S46">
        <v>10.413638880000001</v>
      </c>
      <c r="T46">
        <v>0.89562988799999999</v>
      </c>
      <c r="U46">
        <v>6952</v>
      </c>
      <c r="V46">
        <v>6.9222659689999997</v>
      </c>
      <c r="W46">
        <v>0.89562988799999999</v>
      </c>
      <c r="X46">
        <v>6952</v>
      </c>
      <c r="Y46">
        <v>0</v>
      </c>
      <c r="Z46"/>
      <c r="AA46"/>
      <c r="AB46">
        <v>0</v>
      </c>
      <c r="AC46"/>
      <c r="AD46"/>
      <c r="AE46">
        <v>0.2403689014</v>
      </c>
      <c r="AF46">
        <v>2.3952850000000001E-2</v>
      </c>
      <c r="AG46">
        <v>144</v>
      </c>
      <c r="AH46">
        <v>0.50954217999999996</v>
      </c>
      <c r="AI46">
        <v>0.116624767</v>
      </c>
      <c r="AJ46">
        <v>1042</v>
      </c>
      <c r="AK46">
        <v>0</v>
      </c>
      <c r="AL46"/>
      <c r="AM46"/>
      <c r="AN46">
        <v>0</v>
      </c>
      <c r="AO46"/>
      <c r="AP46"/>
      <c r="AQ46">
        <v>0</v>
      </c>
      <c r="AR46"/>
      <c r="AS46"/>
      <c r="AT46">
        <v>1.4953851000000001E-2</v>
      </c>
      <c r="AU46">
        <v>0.35857910900000001</v>
      </c>
      <c r="AV46">
        <v>0.48292590000000002</v>
      </c>
      <c r="AW46">
        <v>0.10376621599999999</v>
      </c>
      <c r="AX46">
        <v>1.3773934999999999E-2</v>
      </c>
      <c r="AY46">
        <v>2.6000988999999999E-2</v>
      </c>
      <c r="AZ46"/>
      <c r="BA46"/>
      <c r="BB46"/>
      <c r="BC46"/>
      <c r="BD46"/>
      <c r="BE46"/>
      <c r="BF46"/>
      <c r="BG46"/>
      <c r="BH46"/>
      <c r="BI46"/>
      <c r="BJ46"/>
      <c r="BK46"/>
      <c r="BL46">
        <v>0.43718372599999999</v>
      </c>
      <c r="BM46">
        <v>1</v>
      </c>
      <c r="BN46">
        <v>8255</v>
      </c>
      <c r="BO46">
        <v>54.110492460000003</v>
      </c>
      <c r="BP46">
        <v>0.87574218000000004</v>
      </c>
      <c r="BQ46">
        <v>6818</v>
      </c>
      <c r="BR46">
        <v>3.5285951000000003E-2</v>
      </c>
      <c r="BS46">
        <v>6.4541504E-2</v>
      </c>
      <c r="BT46">
        <v>1</v>
      </c>
      <c r="BU46">
        <v>8255</v>
      </c>
      <c r="BV46">
        <v>1.9669013999999999E-2</v>
      </c>
      <c r="BW46">
        <v>1.9669013999999999E-2</v>
      </c>
      <c r="BX46">
        <v>240</v>
      </c>
      <c r="BY46">
        <v>1.98880902554401E-2</v>
      </c>
      <c r="BZ46">
        <v>0.99999999999959199</v>
      </c>
      <c r="CA46">
        <v>8255</v>
      </c>
      <c r="CB46">
        <v>1.52348022285412E-2</v>
      </c>
      <c r="CC46">
        <v>0.99999999999959199</v>
      </c>
      <c r="CD46">
        <v>8255</v>
      </c>
      <c r="CE46">
        <v>0</v>
      </c>
      <c r="CF46">
        <v>0.92535901656615405</v>
      </c>
      <c r="CG46">
        <v>7366</v>
      </c>
      <c r="CH46">
        <v>0</v>
      </c>
      <c r="CI46">
        <v>1</v>
      </c>
      <c r="CJ46">
        <v>8255</v>
      </c>
      <c r="CK46">
        <v>0</v>
      </c>
      <c r="CL46"/>
      <c r="CM46"/>
      <c r="CN46">
        <v>0.25131428</v>
      </c>
      <c r="CO46">
        <v>0.92475384000000005</v>
      </c>
      <c r="CP46">
        <v>7357</v>
      </c>
      <c r="CQ46">
        <v>23</v>
      </c>
      <c r="CR46">
        <v>0.92535901700000001</v>
      </c>
      <c r="CS46">
        <v>7366</v>
      </c>
      <c r="CT46">
        <v>1928422573</v>
      </c>
      <c r="CU46">
        <v>0.92535901700000001</v>
      </c>
      <c r="CV46">
        <v>7366</v>
      </c>
      <c r="CW46">
        <v>0.506271095</v>
      </c>
      <c r="CX46">
        <v>0.86957931300000002</v>
      </c>
      <c r="CY46">
        <v>6766</v>
      </c>
      <c r="CZ46">
        <v>517389.4</v>
      </c>
      <c r="DA46">
        <v>0.87710592200000004</v>
      </c>
      <c r="DB46">
        <v>6814</v>
      </c>
      <c r="DC46">
        <v>0</v>
      </c>
      <c r="DD46"/>
      <c r="DE46"/>
      <c r="DF46" s="171" t="s">
        <v>256</v>
      </c>
      <c r="DG46" s="171" t="s">
        <v>445</v>
      </c>
    </row>
    <row r="47" spans="2:111" x14ac:dyDescent="0.35">
      <c r="B47" s="171" t="str">
        <f t="shared" si="0"/>
        <v>iBoxx SD-KPI USD Corporates45626</v>
      </c>
      <c r="C47">
        <v>47897</v>
      </c>
      <c r="D47" t="s">
        <v>469</v>
      </c>
      <c r="E47" t="s">
        <v>255</v>
      </c>
      <c r="F47" s="26">
        <v>45626</v>
      </c>
      <c r="G47">
        <v>8281</v>
      </c>
      <c r="H47">
        <v>0</v>
      </c>
      <c r="I47">
        <v>8281</v>
      </c>
      <c r="J47" s="27">
        <v>0</v>
      </c>
      <c r="K47" s="27">
        <v>1</v>
      </c>
      <c r="L47" t="s">
        <v>444</v>
      </c>
      <c r="M47" s="32">
        <v>22.006600639999998</v>
      </c>
      <c r="N47" s="27">
        <v>0.92349051100000001</v>
      </c>
      <c r="O47" s="133">
        <v>7373</v>
      </c>
      <c r="P47" s="32">
        <v>4.4311615250000003</v>
      </c>
      <c r="Q47">
        <v>0.89596931000000002</v>
      </c>
      <c r="R47">
        <v>6979</v>
      </c>
      <c r="S47">
        <v>10.42244687</v>
      </c>
      <c r="T47">
        <v>0.89596931000000002</v>
      </c>
      <c r="U47">
        <v>6979</v>
      </c>
      <c r="V47">
        <v>6.9320935050000001</v>
      </c>
      <c r="W47">
        <v>0.89596931000000002</v>
      </c>
      <c r="X47">
        <v>6979</v>
      </c>
      <c r="Y47">
        <v>0</v>
      </c>
      <c r="Z47"/>
      <c r="AA47"/>
      <c r="AB47">
        <v>0</v>
      </c>
      <c r="AC47"/>
      <c r="AD47"/>
      <c r="AE47">
        <v>0.24307788939999997</v>
      </c>
      <c r="AF47">
        <v>2.392296E-2</v>
      </c>
      <c r="AG47">
        <v>146</v>
      </c>
      <c r="AH47">
        <v>0.50900161099999996</v>
      </c>
      <c r="AI47">
        <v>0.11597958999999999</v>
      </c>
      <c r="AJ47">
        <v>1044</v>
      </c>
      <c r="AK47">
        <v>0</v>
      </c>
      <c r="AL47"/>
      <c r="AM47"/>
      <c r="AN47">
        <v>0</v>
      </c>
      <c r="AO47"/>
      <c r="AP47"/>
      <c r="AQ47">
        <v>0</v>
      </c>
      <c r="AR47"/>
      <c r="AS47"/>
      <c r="AT47">
        <v>1.4058428E-2</v>
      </c>
      <c r="AU47">
        <v>0.369425477</v>
      </c>
      <c r="AV47">
        <v>0.46992902600000003</v>
      </c>
      <c r="AW47">
        <v>0.10673772500000001</v>
      </c>
      <c r="AX47">
        <v>1.3300724999999999E-2</v>
      </c>
      <c r="AY47">
        <v>2.6548618999999999E-2</v>
      </c>
      <c r="AZ47"/>
      <c r="BA47"/>
      <c r="BB47"/>
      <c r="BC47"/>
      <c r="BD47"/>
      <c r="BE47"/>
      <c r="BF47"/>
      <c r="BG47"/>
      <c r="BH47"/>
      <c r="BI47"/>
      <c r="BJ47"/>
      <c r="BK47"/>
      <c r="BL47">
        <v>0.43678461499999999</v>
      </c>
      <c r="BM47">
        <v>1</v>
      </c>
      <c r="BN47">
        <v>8281</v>
      </c>
      <c r="BO47">
        <v>53.893996260000002</v>
      </c>
      <c r="BP47">
        <v>0.87702113199999998</v>
      </c>
      <c r="BQ47">
        <v>6841</v>
      </c>
      <c r="BR47">
        <v>3.5633344999999997E-2</v>
      </c>
      <c r="BS47">
        <v>6.4592726000000003E-2</v>
      </c>
      <c r="BT47">
        <v>1</v>
      </c>
      <c r="BU47">
        <v>8281</v>
      </c>
      <c r="BV47">
        <v>1.9608363E-2</v>
      </c>
      <c r="BW47">
        <v>1.9608363E-2</v>
      </c>
      <c r="BX47">
        <v>240</v>
      </c>
      <c r="BY47">
        <v>1.9893975056984502E-2</v>
      </c>
      <c r="BZ47">
        <v>0.99999999999958999</v>
      </c>
      <c r="CA47">
        <v>8281</v>
      </c>
      <c r="CB47">
        <v>1.5658254248935799E-2</v>
      </c>
      <c r="CC47">
        <v>0.99999999999958999</v>
      </c>
      <c r="CD47">
        <v>8281</v>
      </c>
      <c r="CE47">
        <v>0</v>
      </c>
      <c r="CF47">
        <v>0.92445654122895504</v>
      </c>
      <c r="CG47">
        <v>7384</v>
      </c>
      <c r="CH47">
        <v>0</v>
      </c>
      <c r="CI47">
        <v>1</v>
      </c>
      <c r="CJ47">
        <v>8281</v>
      </c>
      <c r="CK47">
        <v>0</v>
      </c>
      <c r="CL47"/>
      <c r="CM47"/>
      <c r="CN47">
        <v>0.253715684</v>
      </c>
      <c r="CO47">
        <v>0.92435102000000002</v>
      </c>
      <c r="CP47">
        <v>7381</v>
      </c>
      <c r="CQ47">
        <v>23</v>
      </c>
      <c r="CR47">
        <v>0.92445654099999997</v>
      </c>
      <c r="CS47">
        <v>7384</v>
      </c>
      <c r="CT47">
        <v>1928422573</v>
      </c>
      <c r="CU47">
        <v>0.92445654099999997</v>
      </c>
      <c r="CV47">
        <v>7384</v>
      </c>
      <c r="CW47">
        <v>0.50774094199999997</v>
      </c>
      <c r="CX47">
        <v>0.87086142899999996</v>
      </c>
      <c r="CY47">
        <v>6789</v>
      </c>
      <c r="CZ47">
        <v>518946.8</v>
      </c>
      <c r="DA47">
        <v>0.878377886</v>
      </c>
      <c r="DB47">
        <v>6837</v>
      </c>
      <c r="DC47">
        <v>0</v>
      </c>
      <c r="DD47"/>
      <c r="DE47"/>
      <c r="DF47" s="171" t="s">
        <v>256</v>
      </c>
      <c r="DG47" s="171" t="s">
        <v>445</v>
      </c>
    </row>
    <row r="48" spans="2:111" x14ac:dyDescent="0.35">
      <c r="B48" s="171" t="str">
        <f t="shared" si="0"/>
        <v>iBoxx USD Asia ex-Japan Corporates Investment Grade ESG Screened45596</v>
      </c>
      <c r="C48">
        <v>49644</v>
      </c>
      <c r="D48" t="s">
        <v>470</v>
      </c>
      <c r="E48" t="s">
        <v>259</v>
      </c>
      <c r="F48" s="26">
        <v>45596</v>
      </c>
      <c r="G48">
        <v>615</v>
      </c>
      <c r="H48">
        <v>0</v>
      </c>
      <c r="I48">
        <v>615</v>
      </c>
      <c r="J48" s="27">
        <v>0</v>
      </c>
      <c r="K48" s="27">
        <v>1</v>
      </c>
      <c r="L48" t="s">
        <v>444</v>
      </c>
      <c r="M48" s="32">
        <v>26.096775879999999</v>
      </c>
      <c r="N48" s="27">
        <v>0.97100588499999996</v>
      </c>
      <c r="O48" s="133">
        <v>595</v>
      </c>
      <c r="P48" s="32">
        <v>6.927273155</v>
      </c>
      <c r="Q48">
        <v>0.76549237199999998</v>
      </c>
      <c r="R48">
        <v>454</v>
      </c>
      <c r="S48">
        <v>10.04239025</v>
      </c>
      <c r="T48">
        <v>0.76549237199999998</v>
      </c>
      <c r="U48">
        <v>454</v>
      </c>
      <c r="V48">
        <v>8.1959339880000002</v>
      </c>
      <c r="W48">
        <v>0.76549237199999998</v>
      </c>
      <c r="X48">
        <v>454</v>
      </c>
      <c r="Y48">
        <v>0</v>
      </c>
      <c r="Z48"/>
      <c r="AA48"/>
      <c r="AB48">
        <v>0</v>
      </c>
      <c r="AC48"/>
      <c r="AD48"/>
      <c r="AE48" s="234" t="s">
        <v>460</v>
      </c>
      <c r="AF48">
        <v>0</v>
      </c>
      <c r="AG48">
        <v>0</v>
      </c>
      <c r="AH48">
        <v>8.1839035000000004E-2</v>
      </c>
      <c r="AI48">
        <v>5.2160043000000003E-2</v>
      </c>
      <c r="AJ48">
        <v>35</v>
      </c>
      <c r="AK48">
        <v>0</v>
      </c>
      <c r="AL48"/>
      <c r="AM48"/>
      <c r="AN48">
        <v>0</v>
      </c>
      <c r="AO48"/>
      <c r="AP48"/>
      <c r="AQ48">
        <v>0</v>
      </c>
      <c r="AR48"/>
      <c r="AS48"/>
      <c r="AT48">
        <v>4.5708420000000003E-3</v>
      </c>
      <c r="AU48">
        <v>0.26603525099999997</v>
      </c>
      <c r="AV48">
        <v>0.36162242999999999</v>
      </c>
      <c r="AW48">
        <v>0.27843403100000003</v>
      </c>
      <c r="AX48">
        <v>8.1452751000000004E-2</v>
      </c>
      <c r="AY48">
        <v>7.8846969999999995E-3</v>
      </c>
      <c r="AZ48"/>
      <c r="BA48"/>
      <c r="BB48"/>
      <c r="BC48"/>
      <c r="BD48"/>
      <c r="BE48"/>
      <c r="BF48"/>
      <c r="BG48"/>
      <c r="BH48"/>
      <c r="BI48"/>
      <c r="BJ48"/>
      <c r="BK48"/>
      <c r="BL48">
        <v>0.47699344199999999</v>
      </c>
      <c r="BM48">
        <v>1</v>
      </c>
      <c r="BN48">
        <v>615</v>
      </c>
      <c r="BO48">
        <v>270.40388619999999</v>
      </c>
      <c r="BP48">
        <v>0.82108724200000005</v>
      </c>
      <c r="BQ48">
        <v>503</v>
      </c>
      <c r="BR48">
        <v>6.688007E-2</v>
      </c>
      <c r="BS48">
        <v>9.5867429000000004E-2</v>
      </c>
      <c r="BT48">
        <v>1</v>
      </c>
      <c r="BU48">
        <v>615</v>
      </c>
      <c r="BV48">
        <v>9.1254327999999996E-2</v>
      </c>
      <c r="BW48">
        <v>9.1254327999999996E-2</v>
      </c>
      <c r="BX48">
        <v>59</v>
      </c>
      <c r="BY48">
        <v>0</v>
      </c>
      <c r="BZ48">
        <v>0.99999999999997202</v>
      </c>
      <c r="CA48">
        <v>615</v>
      </c>
      <c r="CB48">
        <v>0</v>
      </c>
      <c r="CC48">
        <v>0.99999999999997202</v>
      </c>
      <c r="CD48">
        <v>615</v>
      </c>
      <c r="CE48">
        <v>0</v>
      </c>
      <c r="CF48">
        <v>0.97289737065771498</v>
      </c>
      <c r="CG48">
        <v>597</v>
      </c>
      <c r="CH48">
        <v>0</v>
      </c>
      <c r="CI48">
        <v>1</v>
      </c>
      <c r="CJ48">
        <v>615</v>
      </c>
      <c r="CK48">
        <v>0</v>
      </c>
      <c r="CL48"/>
      <c r="CM48"/>
      <c r="CN48">
        <v>0.50308799999999998</v>
      </c>
      <c r="CO48">
        <v>0.97289737099999996</v>
      </c>
      <c r="CP48">
        <v>597</v>
      </c>
      <c r="CQ48">
        <v>19</v>
      </c>
      <c r="CR48">
        <v>0.97289737099999996</v>
      </c>
      <c r="CS48">
        <v>597</v>
      </c>
      <c r="CT48">
        <v>1744369.17</v>
      </c>
      <c r="CU48">
        <v>0.97289737099999996</v>
      </c>
      <c r="CV48">
        <v>597</v>
      </c>
      <c r="CW48">
        <v>0.200847467</v>
      </c>
      <c r="CX48">
        <v>0.77867635800000001</v>
      </c>
      <c r="CY48">
        <v>485</v>
      </c>
      <c r="CZ48">
        <v>25023.3</v>
      </c>
      <c r="DA48">
        <v>0.82108724200000005</v>
      </c>
      <c r="DB48">
        <v>503</v>
      </c>
      <c r="DC48">
        <v>0</v>
      </c>
      <c r="DD48"/>
      <c r="DE48"/>
      <c r="DF48" s="171" t="s">
        <v>260</v>
      </c>
      <c r="DG48" s="171" t="s">
        <v>445</v>
      </c>
    </row>
    <row r="49" spans="2:111" x14ac:dyDescent="0.35">
      <c r="B49" s="171" t="str">
        <f t="shared" si="0"/>
        <v>iBoxx USD Asia ex-Japan Corporates Investment Grade ESG Screened45626</v>
      </c>
      <c r="C49">
        <v>98737</v>
      </c>
      <c r="D49" t="s">
        <v>470</v>
      </c>
      <c r="E49" t="s">
        <v>259</v>
      </c>
      <c r="F49" s="26">
        <v>45626</v>
      </c>
      <c r="G49">
        <v>612</v>
      </c>
      <c r="H49">
        <v>0</v>
      </c>
      <c r="I49">
        <v>612</v>
      </c>
      <c r="J49" s="27">
        <v>0</v>
      </c>
      <c r="K49" s="27">
        <v>1</v>
      </c>
      <c r="L49" t="s">
        <v>444</v>
      </c>
      <c r="M49" s="32">
        <v>25.978745289999999</v>
      </c>
      <c r="N49" s="27">
        <v>0.970201164</v>
      </c>
      <c r="O49" s="133">
        <v>592</v>
      </c>
      <c r="P49" s="32">
        <v>6.8302992849999997</v>
      </c>
      <c r="Q49">
        <v>0.772308989</v>
      </c>
      <c r="R49">
        <v>456</v>
      </c>
      <c r="S49">
        <v>10.04100734</v>
      </c>
      <c r="T49">
        <v>0.772308989</v>
      </c>
      <c r="U49">
        <v>456</v>
      </c>
      <c r="V49">
        <v>8.205299299</v>
      </c>
      <c r="W49">
        <v>0.772308989</v>
      </c>
      <c r="X49">
        <v>456</v>
      </c>
      <c r="Y49">
        <v>0</v>
      </c>
      <c r="Z49"/>
      <c r="AA49"/>
      <c r="AB49">
        <v>0</v>
      </c>
      <c r="AC49"/>
      <c r="AD49"/>
      <c r="AE49" s="234" t="s">
        <v>460</v>
      </c>
      <c r="AF49">
        <v>0</v>
      </c>
      <c r="AG49">
        <v>0</v>
      </c>
      <c r="AH49">
        <v>8.2044511000000001E-2</v>
      </c>
      <c r="AI49">
        <v>5.2073965999999999E-2</v>
      </c>
      <c r="AJ49">
        <v>35</v>
      </c>
      <c r="AK49">
        <v>0</v>
      </c>
      <c r="AL49"/>
      <c r="AM49"/>
      <c r="AN49">
        <v>0</v>
      </c>
      <c r="AO49"/>
      <c r="AP49"/>
      <c r="AQ49">
        <v>0</v>
      </c>
      <c r="AR49"/>
      <c r="AS49"/>
      <c r="AT49">
        <v>4.5858269999999998E-3</v>
      </c>
      <c r="AU49">
        <v>0.26928281500000001</v>
      </c>
      <c r="AV49">
        <v>0.36173121699999999</v>
      </c>
      <c r="AW49">
        <v>0.273354604</v>
      </c>
      <c r="AX49">
        <v>8.3152778999999996E-2</v>
      </c>
      <c r="AY49">
        <v>7.8927579999999997E-3</v>
      </c>
      <c r="AZ49"/>
      <c r="BA49"/>
      <c r="BB49"/>
      <c r="BC49"/>
      <c r="BD49"/>
      <c r="BE49"/>
      <c r="BF49"/>
      <c r="BG49"/>
      <c r="BH49"/>
      <c r="BI49"/>
      <c r="BJ49"/>
      <c r="BK49"/>
      <c r="BL49">
        <v>0.48119178099999999</v>
      </c>
      <c r="BM49">
        <v>1</v>
      </c>
      <c r="BN49">
        <v>612</v>
      </c>
      <c r="BO49">
        <v>263.28252400000002</v>
      </c>
      <c r="BP49">
        <v>0.82520242600000004</v>
      </c>
      <c r="BQ49">
        <v>503</v>
      </c>
      <c r="BR49">
        <v>6.5795024999999993E-2</v>
      </c>
      <c r="BS49">
        <v>9.5964629999999995E-2</v>
      </c>
      <c r="BT49">
        <v>1</v>
      </c>
      <c r="BU49">
        <v>612</v>
      </c>
      <c r="BV49">
        <v>9.0088828999999995E-2</v>
      </c>
      <c r="BW49">
        <v>9.0088828999999995E-2</v>
      </c>
      <c r="BX49">
        <v>58</v>
      </c>
      <c r="BY49">
        <v>0</v>
      </c>
      <c r="BZ49">
        <v>0.99999999999997202</v>
      </c>
      <c r="CA49">
        <v>612</v>
      </c>
      <c r="CB49">
        <v>0</v>
      </c>
      <c r="CC49">
        <v>0.99999999999997202</v>
      </c>
      <c r="CD49">
        <v>612</v>
      </c>
      <c r="CE49">
        <v>0</v>
      </c>
      <c r="CF49">
        <v>0.97207664400076998</v>
      </c>
      <c r="CG49">
        <v>594</v>
      </c>
      <c r="CH49">
        <v>0</v>
      </c>
      <c r="CI49">
        <v>1</v>
      </c>
      <c r="CJ49">
        <v>612</v>
      </c>
      <c r="CK49">
        <v>0</v>
      </c>
      <c r="CL49"/>
      <c r="CM49"/>
      <c r="CN49">
        <v>0.50190101499999995</v>
      </c>
      <c r="CO49">
        <v>0.97207664400000005</v>
      </c>
      <c r="CP49">
        <v>594</v>
      </c>
      <c r="CQ49">
        <v>18</v>
      </c>
      <c r="CR49">
        <v>0.97207664400000005</v>
      </c>
      <c r="CS49">
        <v>594</v>
      </c>
      <c r="CT49">
        <v>1744369.17</v>
      </c>
      <c r="CU49">
        <v>0.97207664400000005</v>
      </c>
      <c r="CV49">
        <v>594</v>
      </c>
      <c r="CW49">
        <v>0.20128537299999999</v>
      </c>
      <c r="CX49">
        <v>0.78264550200000005</v>
      </c>
      <c r="CY49">
        <v>485</v>
      </c>
      <c r="CZ49">
        <v>25128.400000000001</v>
      </c>
      <c r="DA49">
        <v>0.82520242600000004</v>
      </c>
      <c r="DB49">
        <v>503</v>
      </c>
      <c r="DC49">
        <v>0</v>
      </c>
      <c r="DD49"/>
      <c r="DE49"/>
      <c r="DF49" s="171" t="s">
        <v>260</v>
      </c>
      <c r="DG49" s="171" t="s">
        <v>445</v>
      </c>
    </row>
    <row r="50" spans="2:111" x14ac:dyDescent="0.35">
      <c r="B50" s="171" t="str">
        <f t="shared" si="0"/>
        <v>iBoxx JUST Capital USD Investment Grade Benchmark45596</v>
      </c>
      <c r="C50">
        <v>0</v>
      </c>
      <c r="D50" t="s">
        <v>471</v>
      </c>
      <c r="E50" t="s">
        <v>202</v>
      </c>
      <c r="F50" s="26">
        <v>45596</v>
      </c>
      <c r="G50">
        <v>3849</v>
      </c>
      <c r="H50">
        <v>0</v>
      </c>
      <c r="I50">
        <v>3849</v>
      </c>
      <c r="J50" s="27">
        <v>0</v>
      </c>
      <c r="K50" s="27">
        <v>1</v>
      </c>
      <c r="L50" t="s">
        <v>444</v>
      </c>
      <c r="M50" s="32">
        <v>21.601113009999999</v>
      </c>
      <c r="N50" s="27">
        <v>0.95220810899999997</v>
      </c>
      <c r="O50" s="133">
        <v>3579</v>
      </c>
      <c r="P50" s="32">
        <v>4.6478819629999997</v>
      </c>
      <c r="Q50">
        <v>0.94908579100000001</v>
      </c>
      <c r="R50">
        <v>3568</v>
      </c>
      <c r="S50">
        <v>10.36845589</v>
      </c>
      <c r="T50">
        <v>0.94908579100000001</v>
      </c>
      <c r="U50">
        <v>3568</v>
      </c>
      <c r="V50">
        <v>6.575726102</v>
      </c>
      <c r="W50">
        <v>0.94908579100000001</v>
      </c>
      <c r="X50">
        <v>3568</v>
      </c>
      <c r="Y50">
        <v>0</v>
      </c>
      <c r="Z50"/>
      <c r="AA50"/>
      <c r="AB50">
        <v>0</v>
      </c>
      <c r="AC50"/>
      <c r="AD50"/>
      <c r="AE50">
        <v>0.1057383102</v>
      </c>
      <c r="AF50">
        <v>6.7335629999999997E-3</v>
      </c>
      <c r="AG50">
        <v>29</v>
      </c>
      <c r="AH50">
        <v>0.43064427199999999</v>
      </c>
      <c r="AI50">
        <v>0.10110802200000001</v>
      </c>
      <c r="AJ50">
        <v>500</v>
      </c>
      <c r="AK50">
        <v>0</v>
      </c>
      <c r="AL50"/>
      <c r="AM50"/>
      <c r="AN50">
        <v>0</v>
      </c>
      <c r="AO50"/>
      <c r="AP50"/>
      <c r="AQ50">
        <v>0</v>
      </c>
      <c r="AR50"/>
      <c r="AS50"/>
      <c r="AT50">
        <v>1.1956313E-2</v>
      </c>
      <c r="AU50">
        <v>0.38029248300000001</v>
      </c>
      <c r="AV50">
        <v>0.52631620899999998</v>
      </c>
      <c r="AW50">
        <v>5.5396246000000003E-2</v>
      </c>
      <c r="AX50">
        <v>1.0440576999999999E-2</v>
      </c>
      <c r="AY50">
        <v>1.5598172E-2</v>
      </c>
      <c r="AZ50"/>
      <c r="BA50"/>
      <c r="BB50"/>
      <c r="BC50"/>
      <c r="BD50"/>
      <c r="BE50"/>
      <c r="BF50"/>
      <c r="BG50"/>
      <c r="BH50"/>
      <c r="BI50"/>
      <c r="BJ50"/>
      <c r="BK50"/>
      <c r="BL50">
        <v>0.48725416999999999</v>
      </c>
      <c r="BM50">
        <v>1</v>
      </c>
      <c r="BN50">
        <v>3849</v>
      </c>
      <c r="BO50">
        <v>54.758825719999997</v>
      </c>
      <c r="BP50">
        <v>0.94014123000000005</v>
      </c>
      <c r="BQ50">
        <v>3533</v>
      </c>
      <c r="BR50">
        <v>2.1022624E-2</v>
      </c>
      <c r="BS50">
        <v>6.2029692999999997E-2</v>
      </c>
      <c r="BT50">
        <v>1</v>
      </c>
      <c r="BU50">
        <v>3849</v>
      </c>
      <c r="BV50">
        <v>1.6283433E-2</v>
      </c>
      <c r="BW50">
        <v>1.6283433E-2</v>
      </c>
      <c r="BX50">
        <v>88</v>
      </c>
      <c r="BY50">
        <v>3.41794600489621E-2</v>
      </c>
      <c r="BZ50">
        <v>0.99999999999980704</v>
      </c>
      <c r="CA50">
        <v>3849</v>
      </c>
      <c r="CB50">
        <v>2.6745293437458999E-3</v>
      </c>
      <c r="CC50">
        <v>0.99999999999980704</v>
      </c>
      <c r="CD50">
        <v>3849</v>
      </c>
      <c r="CE50">
        <v>0</v>
      </c>
      <c r="CF50">
        <v>0.95220810869193495</v>
      </c>
      <c r="CG50">
        <v>3579</v>
      </c>
      <c r="CH50">
        <v>0</v>
      </c>
      <c r="CI50">
        <v>1</v>
      </c>
      <c r="CJ50">
        <v>3849</v>
      </c>
      <c r="CK50">
        <v>0</v>
      </c>
      <c r="CL50"/>
      <c r="CM50"/>
      <c r="CN50">
        <v>0.23436738700000001</v>
      </c>
      <c r="CO50">
        <v>0.95220810899999997</v>
      </c>
      <c r="CP50">
        <v>3579</v>
      </c>
      <c r="CQ50">
        <v>4</v>
      </c>
      <c r="CR50">
        <v>0.95220810899999997</v>
      </c>
      <c r="CS50">
        <v>3579</v>
      </c>
      <c r="CT50">
        <v>473211007.5</v>
      </c>
      <c r="CU50">
        <v>0.95220810899999997</v>
      </c>
      <c r="CV50">
        <v>3579</v>
      </c>
      <c r="CW50">
        <v>0.53492502600000003</v>
      </c>
      <c r="CX50">
        <v>0.92973361700000001</v>
      </c>
      <c r="CY50">
        <v>3492</v>
      </c>
      <c r="CZ50">
        <v>295923.7</v>
      </c>
      <c r="DA50">
        <v>0.94014123000000005</v>
      </c>
      <c r="DB50">
        <v>3533</v>
      </c>
      <c r="DC50">
        <v>0</v>
      </c>
      <c r="DD50"/>
      <c r="DE50"/>
      <c r="DF50" s="171" t="s">
        <v>203</v>
      </c>
      <c r="DG50" s="171" t="s">
        <v>445</v>
      </c>
    </row>
    <row r="51" spans="2:111" x14ac:dyDescent="0.35">
      <c r="B51" s="171" t="str">
        <f t="shared" si="0"/>
        <v>iBoxx JUST Capital USD Investment Grade Benchmark45626</v>
      </c>
      <c r="C51">
        <v>1</v>
      </c>
      <c r="D51" t="s">
        <v>471</v>
      </c>
      <c r="E51" t="s">
        <v>202</v>
      </c>
      <c r="F51" s="26">
        <v>45626</v>
      </c>
      <c r="G51">
        <v>3860</v>
      </c>
      <c r="H51">
        <v>0</v>
      </c>
      <c r="I51">
        <v>3860</v>
      </c>
      <c r="J51" s="27">
        <v>0</v>
      </c>
      <c r="K51" s="27">
        <v>1</v>
      </c>
      <c r="L51" t="s">
        <v>444</v>
      </c>
      <c r="M51" s="32">
        <v>21.606502599999999</v>
      </c>
      <c r="N51" s="27">
        <v>0.95196740300000005</v>
      </c>
      <c r="O51" s="133">
        <v>3590</v>
      </c>
      <c r="P51" s="32">
        <v>4.6422351580000001</v>
      </c>
      <c r="Q51">
        <v>0.94885018200000004</v>
      </c>
      <c r="R51">
        <v>3579</v>
      </c>
      <c r="S51">
        <v>10.3755136</v>
      </c>
      <c r="T51">
        <v>0.94885018200000004</v>
      </c>
      <c r="U51">
        <v>3579</v>
      </c>
      <c r="V51">
        <v>6.5795749040000002</v>
      </c>
      <c r="W51">
        <v>0.94885018200000004</v>
      </c>
      <c r="X51">
        <v>3579</v>
      </c>
      <c r="Y51">
        <v>0</v>
      </c>
      <c r="Z51"/>
      <c r="AA51"/>
      <c r="AB51">
        <v>0</v>
      </c>
      <c r="AC51"/>
      <c r="AD51"/>
      <c r="AE51">
        <v>0.10443470489999999</v>
      </c>
      <c r="AF51">
        <v>6.505551E-3</v>
      </c>
      <c r="AG51">
        <v>28</v>
      </c>
      <c r="AH51">
        <v>0.43229890999999998</v>
      </c>
      <c r="AI51">
        <v>0.100455418</v>
      </c>
      <c r="AJ51">
        <v>499</v>
      </c>
      <c r="AK51">
        <v>0</v>
      </c>
      <c r="AL51"/>
      <c r="AM51"/>
      <c r="AN51">
        <v>0</v>
      </c>
      <c r="AO51"/>
      <c r="AP51"/>
      <c r="AQ51">
        <v>0</v>
      </c>
      <c r="AR51"/>
      <c r="AS51"/>
      <c r="AT51">
        <v>1.1575775999999999E-2</v>
      </c>
      <c r="AU51">
        <v>0.38356925200000003</v>
      </c>
      <c r="AV51">
        <v>0.52422223199999995</v>
      </c>
      <c r="AW51">
        <v>5.5448561E-2</v>
      </c>
      <c r="AX51">
        <v>9.5249789999999994E-3</v>
      </c>
      <c r="AY51">
        <v>1.5659200000000002E-2</v>
      </c>
      <c r="AZ51"/>
      <c r="BA51"/>
      <c r="BB51"/>
      <c r="BC51"/>
      <c r="BD51"/>
      <c r="BE51"/>
      <c r="BF51"/>
      <c r="BG51"/>
      <c r="BH51"/>
      <c r="BI51"/>
      <c r="BJ51"/>
      <c r="BK51"/>
      <c r="BL51">
        <v>0.48676982200000002</v>
      </c>
      <c r="BM51">
        <v>1</v>
      </c>
      <c r="BN51">
        <v>3860</v>
      </c>
      <c r="BO51">
        <v>55.143195149999997</v>
      </c>
      <c r="BP51">
        <v>0.93988815599999997</v>
      </c>
      <c r="BQ51">
        <v>3544</v>
      </c>
      <c r="BR51">
        <v>2.0706519E-2</v>
      </c>
      <c r="BS51">
        <v>6.1469762999999997E-2</v>
      </c>
      <c r="BT51">
        <v>1</v>
      </c>
      <c r="BU51">
        <v>3860</v>
      </c>
      <c r="BV51">
        <v>1.6271431999999999E-2</v>
      </c>
      <c r="BW51">
        <v>1.6271431999999999E-2</v>
      </c>
      <c r="BX51">
        <v>88</v>
      </c>
      <c r="BY51">
        <v>3.3863180193191997E-2</v>
      </c>
      <c r="BZ51">
        <v>0.99999999999980804</v>
      </c>
      <c r="CA51">
        <v>3860</v>
      </c>
      <c r="CB51">
        <v>2.6480041191926998E-3</v>
      </c>
      <c r="CC51">
        <v>0.99999999999980804</v>
      </c>
      <c r="CD51">
        <v>3860</v>
      </c>
      <c r="CE51">
        <v>0</v>
      </c>
      <c r="CF51">
        <v>0.95196740327957097</v>
      </c>
      <c r="CG51">
        <v>3590</v>
      </c>
      <c r="CH51">
        <v>0</v>
      </c>
      <c r="CI51">
        <v>1</v>
      </c>
      <c r="CJ51">
        <v>3860</v>
      </c>
      <c r="CK51">
        <v>0</v>
      </c>
      <c r="CL51"/>
      <c r="CM51"/>
      <c r="CN51">
        <v>0.236427954</v>
      </c>
      <c r="CO51">
        <v>0.95196740300000005</v>
      </c>
      <c r="CP51">
        <v>3590</v>
      </c>
      <c r="CQ51">
        <v>4</v>
      </c>
      <c r="CR51">
        <v>0.95196740300000005</v>
      </c>
      <c r="CS51">
        <v>3590</v>
      </c>
      <c r="CT51">
        <v>473211007.5</v>
      </c>
      <c r="CU51">
        <v>0.95196740300000005</v>
      </c>
      <c r="CV51">
        <v>3590</v>
      </c>
      <c r="CW51">
        <v>0.53492303399999996</v>
      </c>
      <c r="CX51">
        <v>0.92941254100000004</v>
      </c>
      <c r="CY51">
        <v>3503</v>
      </c>
      <c r="CZ51">
        <v>296616.59999999998</v>
      </c>
      <c r="DA51">
        <v>0.93988815599999997</v>
      </c>
      <c r="DB51">
        <v>3544</v>
      </c>
      <c r="DC51">
        <v>0</v>
      </c>
      <c r="DD51"/>
      <c r="DE51"/>
      <c r="DF51" s="171" t="s">
        <v>203</v>
      </c>
      <c r="DG51" s="171" t="s">
        <v>445</v>
      </c>
    </row>
    <row r="52" spans="2:111" x14ac:dyDescent="0.35">
      <c r="B52" s="171" t="str">
        <f t="shared" si="0"/>
        <v>iBoxx JUST Capital USD High Yield Benchmark45596</v>
      </c>
      <c r="C52">
        <v>2</v>
      </c>
      <c r="D52" t="s">
        <v>472</v>
      </c>
      <c r="E52" t="s">
        <v>200</v>
      </c>
      <c r="F52" s="26">
        <v>45596</v>
      </c>
      <c r="G52">
        <v>212</v>
      </c>
      <c r="H52">
        <v>0</v>
      </c>
      <c r="I52">
        <v>212</v>
      </c>
      <c r="J52" s="27">
        <v>0</v>
      </c>
      <c r="K52" s="27">
        <v>1</v>
      </c>
      <c r="L52" t="s">
        <v>444</v>
      </c>
      <c r="M52" s="32">
        <v>21.12690023</v>
      </c>
      <c r="N52" s="27">
        <v>0.80947025100000003</v>
      </c>
      <c r="O52" s="133">
        <v>189</v>
      </c>
      <c r="P52" s="32">
        <v>7.4144221430000004</v>
      </c>
      <c r="Q52">
        <v>0.80947025100000003</v>
      </c>
      <c r="R52">
        <v>189</v>
      </c>
      <c r="S52">
        <v>8.7414233840000009</v>
      </c>
      <c r="T52">
        <v>0.80947025100000003</v>
      </c>
      <c r="U52">
        <v>189</v>
      </c>
      <c r="V52">
        <v>4.9710547009999999</v>
      </c>
      <c r="W52">
        <v>0.80947025100000003</v>
      </c>
      <c r="X52">
        <v>189</v>
      </c>
      <c r="Y52">
        <v>0</v>
      </c>
      <c r="Z52"/>
      <c r="AA52"/>
      <c r="AB52">
        <v>0</v>
      </c>
      <c r="AC52"/>
      <c r="AD52"/>
      <c r="AE52" s="234" t="s">
        <v>460</v>
      </c>
      <c r="AF52">
        <v>0</v>
      </c>
      <c r="AG52">
        <v>0</v>
      </c>
      <c r="AH52">
        <v>0.93273682800000002</v>
      </c>
      <c r="AI52">
        <v>8.1076477999999993E-2</v>
      </c>
      <c r="AJ52">
        <v>23</v>
      </c>
      <c r="AK52">
        <v>0</v>
      </c>
      <c r="AL52"/>
      <c r="AM52"/>
      <c r="AN52">
        <v>0</v>
      </c>
      <c r="AO52"/>
      <c r="AP52"/>
      <c r="AQ52">
        <v>0</v>
      </c>
      <c r="AR52"/>
      <c r="AS52"/>
      <c r="AT52">
        <v>4.0283332999999998E-2</v>
      </c>
      <c r="AU52">
        <v>0.35493913900000001</v>
      </c>
      <c r="AV52">
        <v>0.33708072100000003</v>
      </c>
      <c r="AW52">
        <v>9.2920535999999998E-2</v>
      </c>
      <c r="AX52">
        <v>6.2835210000000002E-3</v>
      </c>
      <c r="AY52">
        <v>0.16849275</v>
      </c>
      <c r="AZ52"/>
      <c r="BA52"/>
      <c r="BB52"/>
      <c r="BC52"/>
      <c r="BD52"/>
      <c r="BE52"/>
      <c r="BF52"/>
      <c r="BG52"/>
      <c r="BH52"/>
      <c r="BI52"/>
      <c r="BJ52"/>
      <c r="BK52"/>
      <c r="BL52">
        <v>0.55825712299999997</v>
      </c>
      <c r="BM52">
        <v>1</v>
      </c>
      <c r="BN52">
        <v>212</v>
      </c>
      <c r="BO52">
        <v>394.37162039999998</v>
      </c>
      <c r="BP52">
        <v>0.80947025100000003</v>
      </c>
      <c r="BQ52">
        <v>189</v>
      </c>
      <c r="BR52">
        <v>2.5806318000000002E-2</v>
      </c>
      <c r="BS52">
        <v>3.4047556999999999E-2</v>
      </c>
      <c r="BT52">
        <v>1</v>
      </c>
      <c r="BU52">
        <v>212</v>
      </c>
      <c r="BV52">
        <v>5.7630559999999999E-3</v>
      </c>
      <c r="BW52">
        <v>5.7630559999999999E-3</v>
      </c>
      <c r="BX52">
        <v>1</v>
      </c>
      <c r="BY52">
        <v>2.2232811270924001E-3</v>
      </c>
      <c r="BZ52">
        <v>0.99999999999999101</v>
      </c>
      <c r="CA52">
        <v>212</v>
      </c>
      <c r="CB52">
        <v>0</v>
      </c>
      <c r="CC52">
        <v>0.99999999999999101</v>
      </c>
      <c r="CD52">
        <v>212</v>
      </c>
      <c r="CE52">
        <v>0</v>
      </c>
      <c r="CF52">
        <v>0.80947025102583303</v>
      </c>
      <c r="CG52">
        <v>189</v>
      </c>
      <c r="CH52">
        <v>0</v>
      </c>
      <c r="CI52">
        <v>1</v>
      </c>
      <c r="CJ52">
        <v>212</v>
      </c>
      <c r="CK52">
        <v>0</v>
      </c>
      <c r="CL52"/>
      <c r="CM52"/>
      <c r="CN52">
        <v>0.32581817099999999</v>
      </c>
      <c r="CO52">
        <v>0.80947025100000003</v>
      </c>
      <c r="CP52">
        <v>189</v>
      </c>
      <c r="CQ52">
        <v>0</v>
      </c>
      <c r="CR52">
        <v>0.80947025100000003</v>
      </c>
      <c r="CS52">
        <v>189</v>
      </c>
      <c r="CT52">
        <v>0</v>
      </c>
      <c r="CU52">
        <v>0.80947025100000003</v>
      </c>
      <c r="CV52">
        <v>189</v>
      </c>
      <c r="CW52">
        <v>0.486236269</v>
      </c>
      <c r="CX52">
        <v>0.78468265800000003</v>
      </c>
      <c r="CY52">
        <v>181</v>
      </c>
      <c r="CZ52">
        <v>15551</v>
      </c>
      <c r="DA52">
        <v>0.80947025100000003</v>
      </c>
      <c r="DB52">
        <v>189</v>
      </c>
      <c r="DC52">
        <v>0</v>
      </c>
      <c r="DD52"/>
      <c r="DE52"/>
      <c r="DF52" s="171" t="s">
        <v>201</v>
      </c>
      <c r="DG52" s="171" t="s">
        <v>445</v>
      </c>
    </row>
    <row r="53" spans="2:111" x14ac:dyDescent="0.35">
      <c r="B53" s="171" t="str">
        <f t="shared" si="0"/>
        <v>iBoxx JUST Capital USD High Yield Benchmark45626</v>
      </c>
      <c r="C53">
        <v>3</v>
      </c>
      <c r="D53" t="s">
        <v>472</v>
      </c>
      <c r="E53" t="s">
        <v>200</v>
      </c>
      <c r="F53" s="26">
        <v>45626</v>
      </c>
      <c r="G53">
        <v>211</v>
      </c>
      <c r="H53">
        <v>0</v>
      </c>
      <c r="I53">
        <v>211</v>
      </c>
      <c r="J53" s="27">
        <v>0</v>
      </c>
      <c r="K53" s="27">
        <v>1</v>
      </c>
      <c r="L53" t="s">
        <v>444</v>
      </c>
      <c r="M53" s="32">
        <v>21.147203709999999</v>
      </c>
      <c r="N53" s="27">
        <v>0.80759694400000004</v>
      </c>
      <c r="O53" s="133">
        <v>188</v>
      </c>
      <c r="P53" s="32">
        <v>7.4192285470000003</v>
      </c>
      <c r="Q53">
        <v>0.80759694400000004</v>
      </c>
      <c r="R53">
        <v>188</v>
      </c>
      <c r="S53">
        <v>8.7460093739999998</v>
      </c>
      <c r="T53">
        <v>0.80759694400000004</v>
      </c>
      <c r="U53">
        <v>188</v>
      </c>
      <c r="V53">
        <v>4.9819657919999996</v>
      </c>
      <c r="W53">
        <v>0.80759694400000004</v>
      </c>
      <c r="X53">
        <v>188</v>
      </c>
      <c r="Y53">
        <v>0</v>
      </c>
      <c r="Z53"/>
      <c r="AA53"/>
      <c r="AB53">
        <v>0</v>
      </c>
      <c r="AC53"/>
      <c r="AD53"/>
      <c r="AE53" s="234" t="s">
        <v>460</v>
      </c>
      <c r="AF53">
        <v>0</v>
      </c>
      <c r="AG53">
        <v>0</v>
      </c>
      <c r="AH53">
        <v>0.78025143900000005</v>
      </c>
      <c r="AI53">
        <v>8.0506533000000005E-2</v>
      </c>
      <c r="AJ53">
        <v>22</v>
      </c>
      <c r="AK53">
        <v>0</v>
      </c>
      <c r="AL53"/>
      <c r="AM53"/>
      <c r="AN53">
        <v>0</v>
      </c>
      <c r="AO53"/>
      <c r="AP53"/>
      <c r="AQ53">
        <v>0</v>
      </c>
      <c r="AR53"/>
      <c r="AS53"/>
      <c r="AT53">
        <v>4.0180744999999997E-2</v>
      </c>
      <c r="AU53">
        <v>0.35470489100000002</v>
      </c>
      <c r="AV53">
        <v>0.33319641100000003</v>
      </c>
      <c r="AW53">
        <v>9.5235594000000007E-2</v>
      </c>
      <c r="AX53">
        <v>6.2988640000000004E-3</v>
      </c>
      <c r="AY53">
        <v>0.170383494</v>
      </c>
      <c r="AZ53"/>
      <c r="BA53"/>
      <c r="BB53"/>
      <c r="BC53"/>
      <c r="BD53"/>
      <c r="BE53"/>
      <c r="BF53"/>
      <c r="BG53"/>
      <c r="BH53"/>
      <c r="BI53"/>
      <c r="BJ53"/>
      <c r="BK53"/>
      <c r="BL53">
        <v>0.55645713299999999</v>
      </c>
      <c r="BM53">
        <v>1</v>
      </c>
      <c r="BN53">
        <v>211</v>
      </c>
      <c r="BO53">
        <v>397.86152010000001</v>
      </c>
      <c r="BP53">
        <v>0.80759694400000004</v>
      </c>
      <c r="BQ53">
        <v>188</v>
      </c>
      <c r="BR53">
        <v>2.5461477E-2</v>
      </c>
      <c r="BS53">
        <v>3.3827722999999997E-2</v>
      </c>
      <c r="BT53">
        <v>1</v>
      </c>
      <c r="BU53">
        <v>211</v>
      </c>
      <c r="BV53">
        <v>5.7668909999999997E-3</v>
      </c>
      <c r="BW53">
        <v>5.7668909999999997E-3</v>
      </c>
      <c r="BX53">
        <v>1</v>
      </c>
      <c r="BY53">
        <v>2.179145697436E-3</v>
      </c>
      <c r="BZ53">
        <v>0.99999999999999001</v>
      </c>
      <c r="CA53">
        <v>211</v>
      </c>
      <c r="CB53">
        <v>0</v>
      </c>
      <c r="CC53">
        <v>0.99999999999999001</v>
      </c>
      <c r="CD53">
        <v>211</v>
      </c>
      <c r="CE53">
        <v>0</v>
      </c>
      <c r="CF53">
        <v>0.80759694395074999</v>
      </c>
      <c r="CG53">
        <v>188</v>
      </c>
      <c r="CH53">
        <v>0</v>
      </c>
      <c r="CI53">
        <v>1</v>
      </c>
      <c r="CJ53">
        <v>211</v>
      </c>
      <c r="CK53">
        <v>0</v>
      </c>
      <c r="CL53"/>
      <c r="CM53"/>
      <c r="CN53">
        <v>0.32471292000000002</v>
      </c>
      <c r="CO53">
        <v>0.80759694400000004</v>
      </c>
      <c r="CP53">
        <v>188</v>
      </c>
      <c r="CQ53">
        <v>0</v>
      </c>
      <c r="CR53">
        <v>0.80759694400000004</v>
      </c>
      <c r="CS53">
        <v>188</v>
      </c>
      <c r="CT53">
        <v>0</v>
      </c>
      <c r="CU53">
        <v>0.80759694400000004</v>
      </c>
      <c r="CV53">
        <v>188</v>
      </c>
      <c r="CW53">
        <v>0.48594172000000002</v>
      </c>
      <c r="CX53">
        <v>0.78294766199999999</v>
      </c>
      <c r="CY53">
        <v>180</v>
      </c>
      <c r="CZ53">
        <v>15461</v>
      </c>
      <c r="DA53">
        <v>0.80759694400000004</v>
      </c>
      <c r="DB53">
        <v>188</v>
      </c>
      <c r="DC53">
        <v>0</v>
      </c>
      <c r="DD53"/>
      <c r="DE53"/>
      <c r="DF53" s="171" t="s">
        <v>201</v>
      </c>
      <c r="DG53" s="171" t="s">
        <v>445</v>
      </c>
    </row>
    <row r="54" spans="2:111" x14ac:dyDescent="0.35">
      <c r="B54" s="171" t="str">
        <f t="shared" si="0"/>
        <v>iBoxx USD Corporates Investment Grade &amp; Fallen Angels FWPL45596</v>
      </c>
      <c r="C54">
        <v>4</v>
      </c>
      <c r="D54" t="s">
        <v>473</v>
      </c>
      <c r="E54" t="s">
        <v>265</v>
      </c>
      <c r="F54" s="26">
        <v>45596</v>
      </c>
      <c r="G54">
        <v>7906</v>
      </c>
      <c r="H54">
        <v>0</v>
      </c>
      <c r="I54">
        <v>7906</v>
      </c>
      <c r="J54" s="27">
        <v>0</v>
      </c>
      <c r="K54" s="27">
        <v>1</v>
      </c>
      <c r="L54" t="s">
        <v>444</v>
      </c>
      <c r="M54" s="32">
        <v>21.94698649</v>
      </c>
      <c r="N54" s="27">
        <v>0.91841960499999997</v>
      </c>
      <c r="O54" s="133">
        <v>7083</v>
      </c>
      <c r="P54" s="32">
        <v>4.6052049589999999</v>
      </c>
      <c r="Q54">
        <v>0.88276487400000003</v>
      </c>
      <c r="R54">
        <v>6699</v>
      </c>
      <c r="S54">
        <v>10.33957629</v>
      </c>
      <c r="T54">
        <v>0.88276487400000003</v>
      </c>
      <c r="U54">
        <v>6699</v>
      </c>
      <c r="V54">
        <v>6.7472747200000001</v>
      </c>
      <c r="W54">
        <v>0.88276487400000003</v>
      </c>
      <c r="X54">
        <v>6699</v>
      </c>
      <c r="Y54">
        <v>0</v>
      </c>
      <c r="Z54"/>
      <c r="AA54"/>
      <c r="AB54">
        <v>0</v>
      </c>
      <c r="AC54"/>
      <c r="AD54"/>
      <c r="AE54">
        <v>0.2476027177</v>
      </c>
      <c r="AF54">
        <v>2.1886751999999999E-2</v>
      </c>
      <c r="AG54">
        <v>144</v>
      </c>
      <c r="AH54">
        <v>0.52268934899999997</v>
      </c>
      <c r="AI54">
        <v>0.112530609</v>
      </c>
      <c r="AJ54">
        <v>955</v>
      </c>
      <c r="AK54">
        <v>0</v>
      </c>
      <c r="AL54"/>
      <c r="AM54"/>
      <c r="AN54">
        <v>0</v>
      </c>
      <c r="AO54"/>
      <c r="AP54"/>
      <c r="AQ54">
        <v>0</v>
      </c>
      <c r="AR54"/>
      <c r="AS54"/>
      <c r="AT54">
        <v>1.3923509000000001E-2</v>
      </c>
      <c r="AU54">
        <v>0.351923716</v>
      </c>
      <c r="AV54">
        <v>0.50066972700000001</v>
      </c>
      <c r="AW54">
        <v>9.1254739000000001E-2</v>
      </c>
      <c r="AX54">
        <v>1.1962811E-2</v>
      </c>
      <c r="AY54">
        <v>3.0265497999999998E-2</v>
      </c>
      <c r="AZ54"/>
      <c r="BA54"/>
      <c r="BB54"/>
      <c r="BC54"/>
      <c r="BD54"/>
      <c r="BE54"/>
      <c r="BF54"/>
      <c r="BG54"/>
      <c r="BH54"/>
      <c r="BI54"/>
      <c r="BJ54"/>
      <c r="BK54"/>
      <c r="BL54">
        <v>0.446782495</v>
      </c>
      <c r="BM54">
        <v>1</v>
      </c>
      <c r="BN54">
        <v>7906</v>
      </c>
      <c r="BO54">
        <v>57.88903037</v>
      </c>
      <c r="BP54">
        <v>0.86893255300000005</v>
      </c>
      <c r="BQ54">
        <v>6603</v>
      </c>
      <c r="BR54">
        <v>3.3847026000000002E-2</v>
      </c>
      <c r="BS54">
        <v>6.7237888999999995E-2</v>
      </c>
      <c r="BT54">
        <v>1</v>
      </c>
      <c r="BU54">
        <v>7906</v>
      </c>
      <c r="BV54">
        <v>1.9915426999999999E-2</v>
      </c>
      <c r="BW54">
        <v>1.9915426999999999E-2</v>
      </c>
      <c r="BX54">
        <v>210</v>
      </c>
      <c r="BY54">
        <v>2.0812337840747E-2</v>
      </c>
      <c r="BZ54">
        <v>0.99999999999960199</v>
      </c>
      <c r="CA54">
        <v>7906</v>
      </c>
      <c r="CB54">
        <v>1.36675353510195E-2</v>
      </c>
      <c r="CC54">
        <v>0.99999999999960199</v>
      </c>
      <c r="CD54">
        <v>7906</v>
      </c>
      <c r="CE54">
        <v>0</v>
      </c>
      <c r="CF54">
        <v>0.92008808225322203</v>
      </c>
      <c r="CG54">
        <v>7100</v>
      </c>
      <c r="CH54">
        <v>0</v>
      </c>
      <c r="CI54">
        <v>1</v>
      </c>
      <c r="CJ54">
        <v>7906</v>
      </c>
      <c r="CK54">
        <v>0</v>
      </c>
      <c r="CL54"/>
      <c r="CM54"/>
      <c r="CN54">
        <v>0.247398482</v>
      </c>
      <c r="CO54">
        <v>0.91935964000000003</v>
      </c>
      <c r="CP54">
        <v>7091</v>
      </c>
      <c r="CQ54">
        <v>25</v>
      </c>
      <c r="CR54">
        <v>0.92008808200000003</v>
      </c>
      <c r="CS54">
        <v>7100</v>
      </c>
      <c r="CT54">
        <v>1928422573</v>
      </c>
      <c r="CU54">
        <v>0.92008808200000003</v>
      </c>
      <c r="CV54">
        <v>7100</v>
      </c>
      <c r="CW54">
        <v>0.49900416600000003</v>
      </c>
      <c r="CX54">
        <v>0.86184323600000001</v>
      </c>
      <c r="CY54">
        <v>6547</v>
      </c>
      <c r="CZ54">
        <v>498972.4</v>
      </c>
      <c r="DA54">
        <v>0.86924596700000001</v>
      </c>
      <c r="DB54">
        <v>6602</v>
      </c>
      <c r="DC54">
        <v>0</v>
      </c>
      <c r="DD54"/>
      <c r="DE54"/>
      <c r="DF54" s="171" t="s">
        <v>266</v>
      </c>
      <c r="DG54" s="171" t="s">
        <v>445</v>
      </c>
    </row>
    <row r="55" spans="2:111" x14ac:dyDescent="0.35">
      <c r="B55" s="171" t="str">
        <f t="shared" si="0"/>
        <v>iBoxx USD Corporates Investment Grade &amp; Fallen Angels FWPL45626</v>
      </c>
      <c r="C55">
        <v>5</v>
      </c>
      <c r="D55" t="s">
        <v>473</v>
      </c>
      <c r="E55" t="s">
        <v>265</v>
      </c>
      <c r="F55" s="26">
        <v>45626</v>
      </c>
      <c r="G55">
        <v>7991</v>
      </c>
      <c r="H55">
        <v>0</v>
      </c>
      <c r="I55">
        <v>7991</v>
      </c>
      <c r="J55" s="27">
        <v>0</v>
      </c>
      <c r="K55" s="27">
        <v>1</v>
      </c>
      <c r="L55" t="s">
        <v>444</v>
      </c>
      <c r="M55" s="32">
        <v>22.08055272</v>
      </c>
      <c r="N55" s="27">
        <v>0.91818543500000005</v>
      </c>
      <c r="O55" s="133">
        <v>7161</v>
      </c>
      <c r="P55" s="32">
        <v>4.7227591279999999</v>
      </c>
      <c r="Q55">
        <v>0.88312202799999995</v>
      </c>
      <c r="R55">
        <v>6779</v>
      </c>
      <c r="S55">
        <v>10.39483046</v>
      </c>
      <c r="T55">
        <v>0.88312202799999995</v>
      </c>
      <c r="U55">
        <v>6779</v>
      </c>
      <c r="V55">
        <v>6.7180107419999997</v>
      </c>
      <c r="W55">
        <v>0.88312202799999995</v>
      </c>
      <c r="X55">
        <v>6779</v>
      </c>
      <c r="Y55">
        <v>0</v>
      </c>
      <c r="Z55"/>
      <c r="AA55"/>
      <c r="AB55">
        <v>0</v>
      </c>
      <c r="AC55"/>
      <c r="AD55"/>
      <c r="AE55">
        <v>0.24989055570000002</v>
      </c>
      <c r="AF55">
        <v>2.1615893000000001E-2</v>
      </c>
      <c r="AG55">
        <v>146</v>
      </c>
      <c r="AH55">
        <v>0.52030527999999998</v>
      </c>
      <c r="AI55">
        <v>0.112803959</v>
      </c>
      <c r="AJ55">
        <v>966</v>
      </c>
      <c r="AK55">
        <v>0</v>
      </c>
      <c r="AL55"/>
      <c r="AM55"/>
      <c r="AN55">
        <v>0</v>
      </c>
      <c r="AO55"/>
      <c r="AP55"/>
      <c r="AQ55">
        <v>0</v>
      </c>
      <c r="AR55"/>
      <c r="AS55"/>
      <c r="AT55">
        <v>1.2982628E-2</v>
      </c>
      <c r="AU55">
        <v>0.360434633</v>
      </c>
      <c r="AV55">
        <v>0.48530377299999999</v>
      </c>
      <c r="AW55">
        <v>9.9374367000000005E-2</v>
      </c>
      <c r="AX55">
        <v>1.1876912E-2</v>
      </c>
      <c r="AY55">
        <v>3.0027688E-2</v>
      </c>
      <c r="AZ55"/>
      <c r="BA55"/>
      <c r="BB55"/>
      <c r="BC55"/>
      <c r="BD55"/>
      <c r="BE55"/>
      <c r="BF55"/>
      <c r="BG55"/>
      <c r="BH55"/>
      <c r="BI55"/>
      <c r="BJ55"/>
      <c r="BK55"/>
      <c r="BL55">
        <v>0.450515522</v>
      </c>
      <c r="BM55">
        <v>1</v>
      </c>
      <c r="BN55">
        <v>7991</v>
      </c>
      <c r="BO55">
        <v>60.152571430000002</v>
      </c>
      <c r="BP55">
        <v>0.86915399000000004</v>
      </c>
      <c r="BQ55">
        <v>6680</v>
      </c>
      <c r="BR55">
        <v>3.8845046000000001E-2</v>
      </c>
      <c r="BS55">
        <v>6.8428446000000004E-2</v>
      </c>
      <c r="BT55">
        <v>1</v>
      </c>
      <c r="BU55">
        <v>7991</v>
      </c>
      <c r="BV55">
        <v>2.0085400999999999E-2</v>
      </c>
      <c r="BW55">
        <v>2.0085400999999999E-2</v>
      </c>
      <c r="BX55">
        <v>214</v>
      </c>
      <c r="BY55">
        <v>2.0632800358387798E-2</v>
      </c>
      <c r="BZ55">
        <v>0.99999999999960298</v>
      </c>
      <c r="CA55">
        <v>7991</v>
      </c>
      <c r="CB55">
        <v>1.3860068185424301E-2</v>
      </c>
      <c r="CC55">
        <v>0.99999999999960298</v>
      </c>
      <c r="CD55">
        <v>7991</v>
      </c>
      <c r="CE55">
        <v>0</v>
      </c>
      <c r="CF55">
        <v>0.91935383580338303</v>
      </c>
      <c r="CG55">
        <v>7172</v>
      </c>
      <c r="CH55">
        <v>0</v>
      </c>
      <c r="CI55">
        <v>1</v>
      </c>
      <c r="CJ55">
        <v>7991</v>
      </c>
      <c r="CK55">
        <v>0</v>
      </c>
      <c r="CL55"/>
      <c r="CM55"/>
      <c r="CN55">
        <v>0.25190031299999999</v>
      </c>
      <c r="CO55">
        <v>0.91912371800000003</v>
      </c>
      <c r="CP55">
        <v>7169</v>
      </c>
      <c r="CQ55">
        <v>25</v>
      </c>
      <c r="CR55">
        <v>0.91935383599999998</v>
      </c>
      <c r="CS55">
        <v>7172</v>
      </c>
      <c r="CT55">
        <v>1928422573</v>
      </c>
      <c r="CU55">
        <v>0.91935383599999998</v>
      </c>
      <c r="CV55">
        <v>7172</v>
      </c>
      <c r="CW55">
        <v>0.49650651400000001</v>
      </c>
      <c r="CX55">
        <v>0.86205241499999996</v>
      </c>
      <c r="CY55">
        <v>6624</v>
      </c>
      <c r="CZ55">
        <v>503726.2</v>
      </c>
      <c r="DA55">
        <v>0.86944268599999996</v>
      </c>
      <c r="DB55">
        <v>6679</v>
      </c>
      <c r="DC55">
        <v>0</v>
      </c>
      <c r="DD55"/>
      <c r="DE55"/>
      <c r="DF55" s="171" t="s">
        <v>266</v>
      </c>
      <c r="DG55" s="171" t="s">
        <v>445</v>
      </c>
    </row>
    <row r="56" spans="2:111" x14ac:dyDescent="0.35">
      <c r="B56" s="171" t="str">
        <f t="shared" si="0"/>
        <v>iBoxx USD Corporates ESG45596</v>
      </c>
      <c r="C56">
        <v>6</v>
      </c>
      <c r="D56" t="s">
        <v>474</v>
      </c>
      <c r="E56" t="s">
        <v>263</v>
      </c>
      <c r="F56" s="26">
        <v>45596</v>
      </c>
      <c r="G56">
        <v>6146</v>
      </c>
      <c r="H56">
        <v>0</v>
      </c>
      <c r="I56">
        <v>6146</v>
      </c>
      <c r="J56" s="27">
        <v>0</v>
      </c>
      <c r="K56" s="27">
        <v>1</v>
      </c>
      <c r="L56" t="s">
        <v>444</v>
      </c>
      <c r="M56" s="32">
        <v>20.304895800000001</v>
      </c>
      <c r="N56" s="27">
        <v>0.95979100799999995</v>
      </c>
      <c r="O56" s="133">
        <v>5798</v>
      </c>
      <c r="P56" s="32">
        <v>3.4189518780000001</v>
      </c>
      <c r="Q56">
        <v>0.936026052</v>
      </c>
      <c r="R56">
        <v>5586</v>
      </c>
      <c r="S56">
        <v>9.978470518</v>
      </c>
      <c r="T56">
        <v>0.936026052</v>
      </c>
      <c r="U56">
        <v>5586</v>
      </c>
      <c r="V56">
        <v>6.8451900209999996</v>
      </c>
      <c r="W56">
        <v>0.936026052</v>
      </c>
      <c r="X56">
        <v>5586</v>
      </c>
      <c r="Y56">
        <v>0</v>
      </c>
      <c r="Z56"/>
      <c r="AA56"/>
      <c r="AB56">
        <v>0</v>
      </c>
      <c r="AC56"/>
      <c r="AD56"/>
      <c r="AE56">
        <v>0.2387245872</v>
      </c>
      <c r="AF56">
        <v>2.1958103999999999E-2</v>
      </c>
      <c r="AG56">
        <v>113</v>
      </c>
      <c r="AH56">
        <v>0.52939510599999995</v>
      </c>
      <c r="AI56">
        <v>7.3641134999999996E-2</v>
      </c>
      <c r="AJ56">
        <v>529</v>
      </c>
      <c r="AK56">
        <v>0</v>
      </c>
      <c r="AL56"/>
      <c r="AM56"/>
      <c r="AN56">
        <v>0</v>
      </c>
      <c r="AO56"/>
      <c r="AP56"/>
      <c r="AQ56">
        <v>0</v>
      </c>
      <c r="AR56"/>
      <c r="AS56"/>
      <c r="AT56">
        <v>1.6944450999999999E-2</v>
      </c>
      <c r="AU56">
        <v>0.41942992600000001</v>
      </c>
      <c r="AV56">
        <v>0.56362562299999996</v>
      </c>
      <c r="AW56">
        <v>0</v>
      </c>
      <c r="AX56">
        <v>0</v>
      </c>
      <c r="AY56">
        <v>0</v>
      </c>
      <c r="AZ56"/>
      <c r="BA56"/>
      <c r="BB56"/>
      <c r="BC56"/>
      <c r="BD56"/>
      <c r="BE56"/>
      <c r="BF56"/>
      <c r="BG56"/>
      <c r="BH56"/>
      <c r="BI56"/>
      <c r="BJ56"/>
      <c r="BK56"/>
      <c r="BL56">
        <v>0.370813424</v>
      </c>
      <c r="BM56">
        <v>1</v>
      </c>
      <c r="BN56">
        <v>6146</v>
      </c>
      <c r="BO56">
        <v>29.27249364</v>
      </c>
      <c r="BP56">
        <v>0.91274523900000004</v>
      </c>
      <c r="BQ56">
        <v>5437</v>
      </c>
      <c r="BR56">
        <v>3.3071094000000002E-2</v>
      </c>
      <c r="BS56">
        <v>3.2008337999999997E-2</v>
      </c>
      <c r="BT56">
        <v>1</v>
      </c>
      <c r="BU56">
        <v>6146</v>
      </c>
      <c r="BV56">
        <v>1.9050978999999999E-2</v>
      </c>
      <c r="BW56">
        <v>1.9050978999999999E-2</v>
      </c>
      <c r="BX56">
        <v>156</v>
      </c>
      <c r="BY56">
        <v>0</v>
      </c>
      <c r="BZ56">
        <v>0.99999999999969602</v>
      </c>
      <c r="CA56">
        <v>6146</v>
      </c>
      <c r="CB56">
        <v>0</v>
      </c>
      <c r="CC56">
        <v>0.99999999999969602</v>
      </c>
      <c r="CD56">
        <v>6146</v>
      </c>
      <c r="CE56">
        <v>0</v>
      </c>
      <c r="CF56">
        <v>0.95979100777087401</v>
      </c>
      <c r="CG56">
        <v>5798</v>
      </c>
      <c r="CH56">
        <v>0</v>
      </c>
      <c r="CI56">
        <v>1</v>
      </c>
      <c r="CJ56">
        <v>6146</v>
      </c>
      <c r="CK56">
        <v>0</v>
      </c>
      <c r="CL56"/>
      <c r="CM56"/>
      <c r="CN56">
        <v>0.25866281000000002</v>
      </c>
      <c r="CO56">
        <v>0.95979100799999995</v>
      </c>
      <c r="CP56">
        <v>5798</v>
      </c>
      <c r="CQ56">
        <v>11</v>
      </c>
      <c r="CR56">
        <v>0.95979100799999995</v>
      </c>
      <c r="CS56">
        <v>5798</v>
      </c>
      <c r="CT56">
        <v>425111333.60000002</v>
      </c>
      <c r="CU56">
        <v>0.95979100799999995</v>
      </c>
      <c r="CV56">
        <v>5798</v>
      </c>
      <c r="CW56">
        <v>0.528416361</v>
      </c>
      <c r="CX56">
        <v>0.90093410399999996</v>
      </c>
      <c r="CY56">
        <v>5367</v>
      </c>
      <c r="CZ56">
        <v>414497.2</v>
      </c>
      <c r="DA56">
        <v>0.91031046599999998</v>
      </c>
      <c r="DB56">
        <v>5422</v>
      </c>
      <c r="DC56">
        <v>0</v>
      </c>
      <c r="DD56"/>
      <c r="DE56"/>
      <c r="DF56" s="171" t="s">
        <v>264</v>
      </c>
      <c r="DG56" s="171" t="s">
        <v>445</v>
      </c>
    </row>
    <row r="57" spans="2:111" x14ac:dyDescent="0.35">
      <c r="B57" s="171" t="str">
        <f t="shared" si="0"/>
        <v>iBoxx USD Corporates ESG45626</v>
      </c>
      <c r="C57">
        <v>13</v>
      </c>
      <c r="D57" t="s">
        <v>474</v>
      </c>
      <c r="E57" t="s">
        <v>263</v>
      </c>
      <c r="F57" s="26">
        <v>45626</v>
      </c>
      <c r="G57">
        <v>6154</v>
      </c>
      <c r="H57">
        <v>0</v>
      </c>
      <c r="I57">
        <v>6154</v>
      </c>
      <c r="J57" s="27">
        <v>0</v>
      </c>
      <c r="K57" s="27">
        <v>1</v>
      </c>
      <c r="L57" t="s">
        <v>444</v>
      </c>
      <c r="M57" s="32">
        <v>20.263310539999999</v>
      </c>
      <c r="N57" s="27">
        <v>0.95891757899999996</v>
      </c>
      <c r="O57" s="133">
        <v>5803</v>
      </c>
      <c r="P57" s="32">
        <v>3.4284732880000002</v>
      </c>
      <c r="Q57">
        <v>0.939123606</v>
      </c>
      <c r="R57">
        <v>5615</v>
      </c>
      <c r="S57">
        <v>9.9821064489999998</v>
      </c>
      <c r="T57">
        <v>0.939123606</v>
      </c>
      <c r="U57">
        <v>5615</v>
      </c>
      <c r="V57">
        <v>6.8444351980000002</v>
      </c>
      <c r="W57">
        <v>0.939123606</v>
      </c>
      <c r="X57">
        <v>5615</v>
      </c>
      <c r="Y57">
        <v>0</v>
      </c>
      <c r="Z57"/>
      <c r="AA57"/>
      <c r="AB57">
        <v>0</v>
      </c>
      <c r="AC57"/>
      <c r="AD57"/>
      <c r="AE57">
        <v>0.24077820030000002</v>
      </c>
      <c r="AF57">
        <v>2.1560811999999999E-2</v>
      </c>
      <c r="AG57">
        <v>112</v>
      </c>
      <c r="AH57">
        <v>0.51639015600000004</v>
      </c>
      <c r="AI57">
        <v>6.9647683000000002E-2</v>
      </c>
      <c r="AJ57">
        <v>507</v>
      </c>
      <c r="AK57">
        <v>0</v>
      </c>
      <c r="AL57"/>
      <c r="AM57"/>
      <c r="AN57">
        <v>0</v>
      </c>
      <c r="AO57"/>
      <c r="AP57"/>
      <c r="AQ57">
        <v>0</v>
      </c>
      <c r="AR57"/>
      <c r="AS57"/>
      <c r="AT57">
        <v>1.6008288999999998E-2</v>
      </c>
      <c r="AU57">
        <v>0.43545558200000001</v>
      </c>
      <c r="AV57">
        <v>0.54853612900000004</v>
      </c>
      <c r="AW57">
        <v>0</v>
      </c>
      <c r="AX57">
        <v>0</v>
      </c>
      <c r="AY57">
        <v>0</v>
      </c>
      <c r="AZ57"/>
      <c r="BA57"/>
      <c r="BB57"/>
      <c r="BC57"/>
      <c r="BD57"/>
      <c r="BE57"/>
      <c r="BF57"/>
      <c r="BG57"/>
      <c r="BH57"/>
      <c r="BI57"/>
      <c r="BJ57"/>
      <c r="BK57"/>
      <c r="BL57">
        <v>0.36731555500000002</v>
      </c>
      <c r="BM57">
        <v>1</v>
      </c>
      <c r="BN57">
        <v>6154</v>
      </c>
      <c r="BO57">
        <v>28.79208384</v>
      </c>
      <c r="BP57">
        <v>0.91221672799999998</v>
      </c>
      <c r="BQ57">
        <v>5445</v>
      </c>
      <c r="BR57">
        <v>3.3142926000000003E-2</v>
      </c>
      <c r="BS57">
        <v>3.2065545000000001E-2</v>
      </c>
      <c r="BT57">
        <v>1</v>
      </c>
      <c r="BU57">
        <v>6154</v>
      </c>
      <c r="BV57">
        <v>1.9027948999999999E-2</v>
      </c>
      <c r="BW57">
        <v>1.9027948999999999E-2</v>
      </c>
      <c r="BX57">
        <v>156</v>
      </c>
      <c r="BY57">
        <v>0</v>
      </c>
      <c r="BZ57">
        <v>0.99999999999969302</v>
      </c>
      <c r="CA57">
        <v>6154</v>
      </c>
      <c r="CB57">
        <v>0</v>
      </c>
      <c r="CC57">
        <v>0.99999999999969302</v>
      </c>
      <c r="CD57">
        <v>6154</v>
      </c>
      <c r="CE57">
        <v>0</v>
      </c>
      <c r="CF57">
        <v>0.95891757879513395</v>
      </c>
      <c r="CG57">
        <v>5803</v>
      </c>
      <c r="CH57">
        <v>0</v>
      </c>
      <c r="CI57">
        <v>1</v>
      </c>
      <c r="CJ57">
        <v>6154</v>
      </c>
      <c r="CK57">
        <v>0</v>
      </c>
      <c r="CL57"/>
      <c r="CM57"/>
      <c r="CN57">
        <v>0.25986804200000002</v>
      </c>
      <c r="CO57">
        <v>0.95891757899999996</v>
      </c>
      <c r="CP57">
        <v>5803</v>
      </c>
      <c r="CQ57">
        <v>11</v>
      </c>
      <c r="CR57">
        <v>0.95891757899999996</v>
      </c>
      <c r="CS57">
        <v>5803</v>
      </c>
      <c r="CT57">
        <v>425111333.60000002</v>
      </c>
      <c r="CU57">
        <v>0.95891757899999996</v>
      </c>
      <c r="CV57">
        <v>5803</v>
      </c>
      <c r="CW57">
        <v>0.52997354699999999</v>
      </c>
      <c r="CX57">
        <v>0.90027610599999996</v>
      </c>
      <c r="CY57">
        <v>5375</v>
      </c>
      <c r="CZ57">
        <v>415438.8</v>
      </c>
      <c r="DA57">
        <v>0.909747478</v>
      </c>
      <c r="DB57">
        <v>5430</v>
      </c>
      <c r="DC57">
        <v>0</v>
      </c>
      <c r="DD57"/>
      <c r="DE57"/>
      <c r="DF57" s="171" t="s">
        <v>264</v>
      </c>
      <c r="DG57" s="171" t="s">
        <v>445</v>
      </c>
    </row>
    <row r="58" spans="2:111" x14ac:dyDescent="0.35">
      <c r="B58" s="171" t="str">
        <f t="shared" si="0"/>
        <v>iBoxx USD High Yield Corporates Developed Markets ESG45596</v>
      </c>
      <c r="C58">
        <v>61</v>
      </c>
      <c r="D58" t="s">
        <v>475</v>
      </c>
      <c r="E58" t="s">
        <v>269</v>
      </c>
      <c r="F58" s="26">
        <v>45596</v>
      </c>
      <c r="G58">
        <v>951</v>
      </c>
      <c r="H58">
        <v>0</v>
      </c>
      <c r="I58">
        <v>951</v>
      </c>
      <c r="J58" s="27">
        <v>0</v>
      </c>
      <c r="K58" s="27">
        <v>1</v>
      </c>
      <c r="L58" t="s">
        <v>444</v>
      </c>
      <c r="M58" s="32">
        <v>19.777646570000002</v>
      </c>
      <c r="N58" s="27">
        <v>0.97896984200000003</v>
      </c>
      <c r="O58" s="133">
        <v>936</v>
      </c>
      <c r="P58" s="32">
        <v>5.3072773809999996</v>
      </c>
      <c r="Q58">
        <v>0.59396481599999995</v>
      </c>
      <c r="R58">
        <v>505</v>
      </c>
      <c r="S58">
        <v>8.7193529099999996</v>
      </c>
      <c r="T58">
        <v>0.59396481599999995</v>
      </c>
      <c r="U58">
        <v>505</v>
      </c>
      <c r="V58">
        <v>5.3568980960000001</v>
      </c>
      <c r="W58">
        <v>0.59396481599999995</v>
      </c>
      <c r="X58">
        <v>505</v>
      </c>
      <c r="Y58">
        <v>0</v>
      </c>
      <c r="Z58"/>
      <c r="AA58"/>
      <c r="AB58">
        <v>0</v>
      </c>
      <c r="AC58"/>
      <c r="AD58"/>
      <c r="AE58">
        <v>0.13652416249999999</v>
      </c>
      <c r="AF58">
        <v>3.5379270000000002E-3</v>
      </c>
      <c r="AG58">
        <v>4</v>
      </c>
      <c r="AH58">
        <v>0.55296432600000001</v>
      </c>
      <c r="AI58">
        <v>7.4852586999999998E-2</v>
      </c>
      <c r="AJ58">
        <v>77</v>
      </c>
      <c r="AK58">
        <v>0</v>
      </c>
      <c r="AL58"/>
      <c r="AM58"/>
      <c r="AN58">
        <v>0</v>
      </c>
      <c r="AO58"/>
      <c r="AP58"/>
      <c r="AQ58">
        <v>0</v>
      </c>
      <c r="AR58"/>
      <c r="AS58"/>
      <c r="AT58">
        <v>3.6276724000000003E-2</v>
      </c>
      <c r="AU58">
        <v>0.46600524300000001</v>
      </c>
      <c r="AV58">
        <v>0.497718033</v>
      </c>
      <c r="AW58">
        <v>0</v>
      </c>
      <c r="AX58">
        <v>0</v>
      </c>
      <c r="AY58">
        <v>0</v>
      </c>
      <c r="AZ58"/>
      <c r="BA58"/>
      <c r="BB58"/>
      <c r="BC58"/>
      <c r="BD58"/>
      <c r="BE58"/>
      <c r="BF58"/>
      <c r="BG58"/>
      <c r="BH58"/>
      <c r="BI58"/>
      <c r="BJ58"/>
      <c r="BK58"/>
      <c r="BL58">
        <v>0.50501327500000004</v>
      </c>
      <c r="BM58">
        <v>1</v>
      </c>
      <c r="BN58">
        <v>951</v>
      </c>
      <c r="BO58">
        <v>75.335100830000002</v>
      </c>
      <c r="BP58">
        <v>0.93428625499999995</v>
      </c>
      <c r="BQ58">
        <v>897</v>
      </c>
      <c r="BR58">
        <v>0.30029548099999998</v>
      </c>
      <c r="BS58">
        <v>6.8182890999999995E-2</v>
      </c>
      <c r="BT58">
        <v>1</v>
      </c>
      <c r="BU58">
        <v>951</v>
      </c>
      <c r="BV58">
        <v>1.053658E-2</v>
      </c>
      <c r="BW58">
        <v>1.053658E-2</v>
      </c>
      <c r="BX58">
        <v>13</v>
      </c>
      <c r="BY58">
        <v>0</v>
      </c>
      <c r="BZ58">
        <v>0.99999999999995604</v>
      </c>
      <c r="CA58">
        <v>951</v>
      </c>
      <c r="CB58">
        <v>0</v>
      </c>
      <c r="CC58">
        <v>0.99999999999995604</v>
      </c>
      <c r="CD58">
        <v>951</v>
      </c>
      <c r="CE58">
        <v>0</v>
      </c>
      <c r="CF58">
        <v>0.97896984242464502</v>
      </c>
      <c r="CG58">
        <v>936</v>
      </c>
      <c r="CH58">
        <v>0</v>
      </c>
      <c r="CI58">
        <v>1</v>
      </c>
      <c r="CJ58">
        <v>951</v>
      </c>
      <c r="CK58">
        <v>0</v>
      </c>
      <c r="CL58"/>
      <c r="CM58"/>
      <c r="CN58">
        <v>0.54886972999999994</v>
      </c>
      <c r="CO58">
        <v>0.97896984200000003</v>
      </c>
      <c r="CP58">
        <v>936</v>
      </c>
      <c r="CQ58">
        <v>1</v>
      </c>
      <c r="CR58">
        <v>0.97896984200000003</v>
      </c>
      <c r="CS58">
        <v>936</v>
      </c>
      <c r="CT58">
        <v>24120315</v>
      </c>
      <c r="CU58">
        <v>0.97896984200000003</v>
      </c>
      <c r="CV58">
        <v>936</v>
      </c>
      <c r="CW58">
        <v>0.45117412699999998</v>
      </c>
      <c r="CX58">
        <v>0.92593032900000005</v>
      </c>
      <c r="CY58">
        <v>887</v>
      </c>
      <c r="CZ58">
        <v>66309.7</v>
      </c>
      <c r="DA58">
        <v>0.93545674000000001</v>
      </c>
      <c r="DB58">
        <v>897</v>
      </c>
      <c r="DC58">
        <v>0</v>
      </c>
      <c r="DD58"/>
      <c r="DE58"/>
      <c r="DF58" s="171" t="s">
        <v>270</v>
      </c>
      <c r="DG58" s="171" t="s">
        <v>445</v>
      </c>
    </row>
    <row r="59" spans="2:111" x14ac:dyDescent="0.35">
      <c r="B59" s="171" t="str">
        <f t="shared" si="0"/>
        <v>iBoxx USD High Yield Corporates Developed Markets ESG45626</v>
      </c>
      <c r="C59">
        <v>62</v>
      </c>
      <c r="D59" t="s">
        <v>475</v>
      </c>
      <c r="E59" t="s">
        <v>269</v>
      </c>
      <c r="F59" s="26">
        <v>45626</v>
      </c>
      <c r="G59">
        <v>946</v>
      </c>
      <c r="H59">
        <v>0</v>
      </c>
      <c r="I59">
        <v>946</v>
      </c>
      <c r="J59" s="27">
        <v>0</v>
      </c>
      <c r="K59" s="27">
        <v>1</v>
      </c>
      <c r="L59" t="s">
        <v>444</v>
      </c>
      <c r="M59" s="32">
        <v>19.81473265</v>
      </c>
      <c r="N59" s="27">
        <v>0.98127473799999998</v>
      </c>
      <c r="O59" s="133">
        <v>932</v>
      </c>
      <c r="P59" s="32">
        <v>5.2621349459999998</v>
      </c>
      <c r="Q59">
        <v>0.58873562300000004</v>
      </c>
      <c r="R59">
        <v>503</v>
      </c>
      <c r="S59">
        <v>8.7186151519999999</v>
      </c>
      <c r="T59">
        <v>0.58873562300000004</v>
      </c>
      <c r="U59">
        <v>503</v>
      </c>
      <c r="V59">
        <v>5.3399874399999998</v>
      </c>
      <c r="W59">
        <v>0.58873562300000004</v>
      </c>
      <c r="X59">
        <v>503</v>
      </c>
      <c r="Y59">
        <v>0</v>
      </c>
      <c r="Z59"/>
      <c r="AA59"/>
      <c r="AB59">
        <v>0</v>
      </c>
      <c r="AC59"/>
      <c r="AD59"/>
      <c r="AE59">
        <v>0.13731078429999999</v>
      </c>
      <c r="AF59">
        <v>3.487244E-3</v>
      </c>
      <c r="AG59">
        <v>4</v>
      </c>
      <c r="AH59">
        <v>0.50770145499999997</v>
      </c>
      <c r="AI59">
        <v>7.4067390999999996E-2</v>
      </c>
      <c r="AJ59">
        <v>77</v>
      </c>
      <c r="AK59">
        <v>0</v>
      </c>
      <c r="AL59"/>
      <c r="AM59"/>
      <c r="AN59">
        <v>0</v>
      </c>
      <c r="AO59"/>
      <c r="AP59"/>
      <c r="AQ59">
        <v>0</v>
      </c>
      <c r="AR59"/>
      <c r="AS59"/>
      <c r="AT59">
        <v>3.2768446999999999E-2</v>
      </c>
      <c r="AU59">
        <v>0.47024202500000001</v>
      </c>
      <c r="AV59">
        <v>0.49698952800000001</v>
      </c>
      <c r="AW59">
        <v>0</v>
      </c>
      <c r="AX59">
        <v>0</v>
      </c>
      <c r="AY59">
        <v>0</v>
      </c>
      <c r="AZ59"/>
      <c r="BA59"/>
      <c r="BB59"/>
      <c r="BC59"/>
      <c r="BD59"/>
      <c r="BE59"/>
      <c r="BF59"/>
      <c r="BG59"/>
      <c r="BH59"/>
      <c r="BI59"/>
      <c r="BJ59"/>
      <c r="BK59"/>
      <c r="BL59">
        <v>0.51466332800000003</v>
      </c>
      <c r="BM59">
        <v>1</v>
      </c>
      <c r="BN59">
        <v>946</v>
      </c>
      <c r="BO59">
        <v>73.579995389999993</v>
      </c>
      <c r="BP59">
        <v>0.93620071900000001</v>
      </c>
      <c r="BQ59">
        <v>892</v>
      </c>
      <c r="BR59">
        <v>0.31014317699999999</v>
      </c>
      <c r="BS59">
        <v>6.7725081000000006E-2</v>
      </c>
      <c r="BT59">
        <v>1</v>
      </c>
      <c r="BU59">
        <v>946</v>
      </c>
      <c r="BV59">
        <v>1.0349506E-2</v>
      </c>
      <c r="BW59">
        <v>1.0349506E-2</v>
      </c>
      <c r="BX59">
        <v>13</v>
      </c>
      <c r="BY59">
        <v>0</v>
      </c>
      <c r="BZ59">
        <v>0.99999999999995304</v>
      </c>
      <c r="CA59">
        <v>946</v>
      </c>
      <c r="CB59">
        <v>0</v>
      </c>
      <c r="CC59">
        <v>0.99999999999995304</v>
      </c>
      <c r="CD59">
        <v>946</v>
      </c>
      <c r="CE59">
        <v>0</v>
      </c>
      <c r="CF59">
        <v>0.98127473834482604</v>
      </c>
      <c r="CG59">
        <v>932</v>
      </c>
      <c r="CH59">
        <v>0</v>
      </c>
      <c r="CI59">
        <v>1</v>
      </c>
      <c r="CJ59">
        <v>946</v>
      </c>
      <c r="CK59">
        <v>0</v>
      </c>
      <c r="CL59"/>
      <c r="CM59"/>
      <c r="CN59">
        <v>0.55592937200000003</v>
      </c>
      <c r="CO59">
        <v>0.98127473799999998</v>
      </c>
      <c r="CP59">
        <v>932</v>
      </c>
      <c r="CQ59">
        <v>1</v>
      </c>
      <c r="CR59">
        <v>0.98127473799999998</v>
      </c>
      <c r="CS59">
        <v>932</v>
      </c>
      <c r="CT59">
        <v>24120315</v>
      </c>
      <c r="CU59">
        <v>0.98127473799999998</v>
      </c>
      <c r="CV59">
        <v>932</v>
      </c>
      <c r="CW59">
        <v>0.44956104800000002</v>
      </c>
      <c r="CX59">
        <v>0.92812220199999995</v>
      </c>
      <c r="CY59">
        <v>882</v>
      </c>
      <c r="CZ59">
        <v>65960</v>
      </c>
      <c r="DA59">
        <v>0.93736242599999997</v>
      </c>
      <c r="DB59">
        <v>892</v>
      </c>
      <c r="DC59">
        <v>0</v>
      </c>
      <c r="DD59"/>
      <c r="DE59"/>
      <c r="DF59" s="171" t="s">
        <v>270</v>
      </c>
      <c r="DG59" s="171" t="s">
        <v>445</v>
      </c>
    </row>
    <row r="60" spans="2:111" x14ac:dyDescent="0.35">
      <c r="B60" s="171" t="str">
        <f t="shared" si="0"/>
        <v>iBoxx USD Corporates SRI Screened45596</v>
      </c>
      <c r="C60">
        <v>422</v>
      </c>
      <c r="D60" t="s">
        <v>476</v>
      </c>
      <c r="E60" t="s">
        <v>267</v>
      </c>
      <c r="F60" s="26">
        <v>45596</v>
      </c>
      <c r="G60">
        <v>6783</v>
      </c>
      <c r="H60">
        <v>0</v>
      </c>
      <c r="I60">
        <v>6783</v>
      </c>
      <c r="J60" s="27">
        <v>0</v>
      </c>
      <c r="K60" s="27">
        <v>1</v>
      </c>
      <c r="L60" t="s">
        <v>444</v>
      </c>
      <c r="M60" s="32">
        <v>21.306478550000001</v>
      </c>
      <c r="N60" s="27">
        <v>0.94607600000000003</v>
      </c>
      <c r="O60" s="133">
        <v>6282</v>
      </c>
      <c r="P60" s="32">
        <v>4.031496905</v>
      </c>
      <c r="Q60">
        <v>0.91154885900000004</v>
      </c>
      <c r="R60">
        <v>5950</v>
      </c>
      <c r="S60">
        <v>10.13185986</v>
      </c>
      <c r="T60">
        <v>0.91154885900000004</v>
      </c>
      <c r="U60">
        <v>5950</v>
      </c>
      <c r="V60">
        <v>6.8664888800000003</v>
      </c>
      <c r="W60">
        <v>0.91154885900000004</v>
      </c>
      <c r="X60">
        <v>5950</v>
      </c>
      <c r="Y60">
        <v>0</v>
      </c>
      <c r="Z60"/>
      <c r="AA60"/>
      <c r="AB60">
        <v>0</v>
      </c>
      <c r="AC60"/>
      <c r="AD60"/>
      <c r="AE60">
        <v>0.2395489378</v>
      </c>
      <c r="AF60">
        <v>2.0322117000000001E-2</v>
      </c>
      <c r="AG60">
        <v>114</v>
      </c>
      <c r="AH60">
        <v>0.46013860000000001</v>
      </c>
      <c r="AI60">
        <v>9.3279898E-2</v>
      </c>
      <c r="AJ60">
        <v>697</v>
      </c>
      <c r="AK60">
        <v>0</v>
      </c>
      <c r="AL60"/>
      <c r="AM60"/>
      <c r="AN60">
        <v>0</v>
      </c>
      <c r="AO60"/>
      <c r="AP60"/>
      <c r="AQ60">
        <v>0</v>
      </c>
      <c r="AR60"/>
      <c r="AS60"/>
      <c r="AT60">
        <v>1.5623051000000001E-2</v>
      </c>
      <c r="AU60">
        <v>0.38672099199999999</v>
      </c>
      <c r="AV60">
        <v>0.51966935400000003</v>
      </c>
      <c r="AW60">
        <v>6.4381487000000001E-2</v>
      </c>
      <c r="AX60">
        <v>1.0518115E-2</v>
      </c>
      <c r="AY60">
        <v>3.0870009999999998E-3</v>
      </c>
      <c r="AZ60"/>
      <c r="BA60"/>
      <c r="BB60"/>
      <c r="BC60"/>
      <c r="BD60"/>
      <c r="BE60"/>
      <c r="BF60"/>
      <c r="BG60"/>
      <c r="BH60"/>
      <c r="BI60"/>
      <c r="BJ60"/>
      <c r="BK60"/>
      <c r="BL60">
        <v>0.39930448200000002</v>
      </c>
      <c r="BM60">
        <v>1</v>
      </c>
      <c r="BN60">
        <v>6783</v>
      </c>
      <c r="BO60">
        <v>49.719662870000001</v>
      </c>
      <c r="BP60">
        <v>0.89361377500000005</v>
      </c>
      <c r="BQ60">
        <v>5836</v>
      </c>
      <c r="BR60">
        <v>3.6821088000000002E-2</v>
      </c>
      <c r="BS60">
        <v>5.5689955999999999E-2</v>
      </c>
      <c r="BT60">
        <v>1</v>
      </c>
      <c r="BU60">
        <v>6783</v>
      </c>
      <c r="BV60">
        <v>2.0794938999999998E-2</v>
      </c>
      <c r="BW60">
        <v>2.0794938999999998E-2</v>
      </c>
      <c r="BX60">
        <v>186</v>
      </c>
      <c r="BY60">
        <v>0</v>
      </c>
      <c r="BZ60">
        <v>0.99999999999966105</v>
      </c>
      <c r="CA60">
        <v>6783</v>
      </c>
      <c r="CB60">
        <v>0</v>
      </c>
      <c r="CC60">
        <v>0.99999999999966105</v>
      </c>
      <c r="CD60">
        <v>6783</v>
      </c>
      <c r="CE60">
        <v>0</v>
      </c>
      <c r="CF60">
        <v>0.947997758756701</v>
      </c>
      <c r="CG60">
        <v>6299</v>
      </c>
      <c r="CH60">
        <v>0</v>
      </c>
      <c r="CI60">
        <v>1</v>
      </c>
      <c r="CJ60">
        <v>6783</v>
      </c>
      <c r="CK60">
        <v>0</v>
      </c>
      <c r="CL60"/>
      <c r="CM60"/>
      <c r="CN60">
        <v>0.26410229200000002</v>
      </c>
      <c r="CO60">
        <v>0.947158736</v>
      </c>
      <c r="CP60">
        <v>6290</v>
      </c>
      <c r="CQ60">
        <v>21</v>
      </c>
      <c r="CR60">
        <v>0.94799775900000005</v>
      </c>
      <c r="CS60">
        <v>6299</v>
      </c>
      <c r="CT60">
        <v>468265573.10000002</v>
      </c>
      <c r="CU60">
        <v>0.94799775900000005</v>
      </c>
      <c r="CV60">
        <v>6299</v>
      </c>
      <c r="CW60">
        <v>0.514332452</v>
      </c>
      <c r="CX60">
        <v>0.882845977</v>
      </c>
      <c r="CY60">
        <v>5767</v>
      </c>
      <c r="CZ60">
        <v>438904.5</v>
      </c>
      <c r="DA60">
        <v>0.89040839500000002</v>
      </c>
      <c r="DB60">
        <v>5814</v>
      </c>
      <c r="DC60">
        <v>0</v>
      </c>
      <c r="DD60"/>
      <c r="DE60"/>
      <c r="DF60" s="171" t="s">
        <v>268</v>
      </c>
      <c r="DG60" s="171" t="s">
        <v>445</v>
      </c>
    </row>
    <row r="61" spans="2:111" x14ac:dyDescent="0.35">
      <c r="B61" s="171" t="str">
        <f t="shared" si="0"/>
        <v>iBoxx USD Corporates SRI Screened45626</v>
      </c>
      <c r="C61">
        <v>423</v>
      </c>
      <c r="D61" t="s">
        <v>476</v>
      </c>
      <c r="E61" t="s">
        <v>267</v>
      </c>
      <c r="F61" s="26">
        <v>45626</v>
      </c>
      <c r="G61">
        <v>6801</v>
      </c>
      <c r="H61">
        <v>0</v>
      </c>
      <c r="I61">
        <v>6801</v>
      </c>
      <c r="J61" s="27">
        <v>0</v>
      </c>
      <c r="K61" s="27">
        <v>1</v>
      </c>
      <c r="L61" t="s">
        <v>444</v>
      </c>
      <c r="M61" s="32">
        <v>21.31602655</v>
      </c>
      <c r="N61" s="27">
        <v>0.94607113799999998</v>
      </c>
      <c r="O61" s="133">
        <v>6302</v>
      </c>
      <c r="P61" s="32">
        <v>4.0347512930000002</v>
      </c>
      <c r="Q61">
        <v>0.91184947500000002</v>
      </c>
      <c r="R61">
        <v>5972</v>
      </c>
      <c r="S61">
        <v>10.137097260000001</v>
      </c>
      <c r="T61">
        <v>0.91184947500000002</v>
      </c>
      <c r="U61">
        <v>5972</v>
      </c>
      <c r="V61">
        <v>6.8700701210000004</v>
      </c>
      <c r="W61">
        <v>0.91184947500000002</v>
      </c>
      <c r="X61">
        <v>5972</v>
      </c>
      <c r="Y61">
        <v>0</v>
      </c>
      <c r="Z61"/>
      <c r="AA61"/>
      <c r="AB61">
        <v>0</v>
      </c>
      <c r="AC61"/>
      <c r="AD61"/>
      <c r="AE61">
        <v>0.24160494069999999</v>
      </c>
      <c r="AF61">
        <v>1.9903895000000001E-2</v>
      </c>
      <c r="AG61">
        <v>113</v>
      </c>
      <c r="AH61">
        <v>0.46143383900000001</v>
      </c>
      <c r="AI61">
        <v>9.2912962000000002E-2</v>
      </c>
      <c r="AJ61">
        <v>696</v>
      </c>
      <c r="AK61">
        <v>0</v>
      </c>
      <c r="AL61"/>
      <c r="AM61"/>
      <c r="AN61">
        <v>0</v>
      </c>
      <c r="AO61"/>
      <c r="AP61"/>
      <c r="AQ61">
        <v>0</v>
      </c>
      <c r="AR61"/>
      <c r="AS61"/>
      <c r="AT61">
        <v>1.472183E-2</v>
      </c>
      <c r="AU61">
        <v>0.400461495</v>
      </c>
      <c r="AV61">
        <v>0.50445011699999998</v>
      </c>
      <c r="AW61">
        <v>6.7697905000000003E-2</v>
      </c>
      <c r="AX61">
        <v>1.0264148000000001E-2</v>
      </c>
      <c r="AY61">
        <v>2.4045059999999998E-3</v>
      </c>
      <c r="AZ61"/>
      <c r="BA61"/>
      <c r="BB61"/>
      <c r="BC61"/>
      <c r="BD61"/>
      <c r="BE61"/>
      <c r="BF61"/>
      <c r="BG61"/>
      <c r="BH61"/>
      <c r="BI61"/>
      <c r="BJ61"/>
      <c r="BK61"/>
      <c r="BL61">
        <v>0.39855687299999998</v>
      </c>
      <c r="BM61">
        <v>1</v>
      </c>
      <c r="BN61">
        <v>6801</v>
      </c>
      <c r="BO61">
        <v>49.907497540000001</v>
      </c>
      <c r="BP61">
        <v>0.89354484999999995</v>
      </c>
      <c r="BQ61">
        <v>5853</v>
      </c>
      <c r="BR61">
        <v>3.6808898999999999E-2</v>
      </c>
      <c r="BS61">
        <v>5.5523391999999998E-2</v>
      </c>
      <c r="BT61">
        <v>1</v>
      </c>
      <c r="BU61">
        <v>6801</v>
      </c>
      <c r="BV61">
        <v>2.0639438999999999E-2</v>
      </c>
      <c r="BW61">
        <v>2.0639438999999999E-2</v>
      </c>
      <c r="BX61">
        <v>185</v>
      </c>
      <c r="BY61">
        <v>0</v>
      </c>
      <c r="BZ61">
        <v>0.99999999999966105</v>
      </c>
      <c r="CA61">
        <v>6801</v>
      </c>
      <c r="CB61">
        <v>0</v>
      </c>
      <c r="CC61">
        <v>0.99999999999966105</v>
      </c>
      <c r="CD61">
        <v>6801</v>
      </c>
      <c r="CE61">
        <v>0</v>
      </c>
      <c r="CF61">
        <v>0.94742764189960105</v>
      </c>
      <c r="CG61">
        <v>6313</v>
      </c>
      <c r="CH61">
        <v>0</v>
      </c>
      <c r="CI61">
        <v>1</v>
      </c>
      <c r="CJ61">
        <v>6801</v>
      </c>
      <c r="CK61">
        <v>0</v>
      </c>
      <c r="CL61"/>
      <c r="CM61"/>
      <c r="CN61">
        <v>0.265345738</v>
      </c>
      <c r="CO61">
        <v>0.94716047699999995</v>
      </c>
      <c r="CP61">
        <v>6310</v>
      </c>
      <c r="CQ61">
        <v>21</v>
      </c>
      <c r="CR61">
        <v>0.94742764199999996</v>
      </c>
      <c r="CS61">
        <v>6313</v>
      </c>
      <c r="CT61">
        <v>468265573.10000002</v>
      </c>
      <c r="CU61">
        <v>0.94742764199999996</v>
      </c>
      <c r="CV61">
        <v>6313</v>
      </c>
      <c r="CW61">
        <v>0.51506990600000002</v>
      </c>
      <c r="CX61">
        <v>0.88268509399999995</v>
      </c>
      <c r="CY61">
        <v>5784</v>
      </c>
      <c r="CZ61">
        <v>439946.7</v>
      </c>
      <c r="DA61">
        <v>0.89030598900000002</v>
      </c>
      <c r="DB61">
        <v>5831</v>
      </c>
      <c r="DC61">
        <v>0</v>
      </c>
      <c r="DD61"/>
      <c r="DE61"/>
      <c r="DF61" s="171" t="s">
        <v>268</v>
      </c>
      <c r="DG61" s="171" t="s">
        <v>445</v>
      </c>
    </row>
    <row r="62" spans="2:111" x14ac:dyDescent="0.35">
      <c r="B62" s="171" t="str">
        <f t="shared" si="0"/>
        <v>iBoxx USD High Yield Corporates Developed Markets SRI Screened45596</v>
      </c>
      <c r="C62">
        <v>654</v>
      </c>
      <c r="D62" t="s">
        <v>477</v>
      </c>
      <c r="E62" t="s">
        <v>271</v>
      </c>
      <c r="F62" s="26">
        <v>45596</v>
      </c>
      <c r="G62">
        <v>1215</v>
      </c>
      <c r="H62">
        <v>0</v>
      </c>
      <c r="I62">
        <v>1215</v>
      </c>
      <c r="J62" s="27">
        <v>0</v>
      </c>
      <c r="K62" s="27">
        <v>1</v>
      </c>
      <c r="L62" t="s">
        <v>444</v>
      </c>
      <c r="M62" s="32">
        <v>23.152620420000002</v>
      </c>
      <c r="N62" s="27">
        <v>0.96860267</v>
      </c>
      <c r="O62" s="133">
        <v>1181</v>
      </c>
      <c r="P62" s="32">
        <v>6.4701224369999997</v>
      </c>
      <c r="Q62">
        <v>0.55294095499999996</v>
      </c>
      <c r="R62">
        <v>601</v>
      </c>
      <c r="S62">
        <v>9.7966749120000003</v>
      </c>
      <c r="T62">
        <v>0.55294095499999996</v>
      </c>
      <c r="U62">
        <v>601</v>
      </c>
      <c r="V62">
        <v>5.5113004590000001</v>
      </c>
      <c r="W62">
        <v>0.55294095499999996</v>
      </c>
      <c r="X62">
        <v>601</v>
      </c>
      <c r="Y62">
        <v>0</v>
      </c>
      <c r="Z62"/>
      <c r="AA62"/>
      <c r="AB62">
        <v>0</v>
      </c>
      <c r="AC62"/>
      <c r="AD62"/>
      <c r="AE62">
        <v>0.1366089513</v>
      </c>
      <c r="AF62">
        <v>3.3755360000000002E-3</v>
      </c>
      <c r="AG62">
        <v>5</v>
      </c>
      <c r="AH62">
        <v>0.59101749100000001</v>
      </c>
      <c r="AI62">
        <v>8.0250742E-2</v>
      </c>
      <c r="AJ62">
        <v>106</v>
      </c>
      <c r="AK62">
        <v>0</v>
      </c>
      <c r="AL62"/>
      <c r="AM62"/>
      <c r="AN62">
        <v>0</v>
      </c>
      <c r="AO62"/>
      <c r="AP62"/>
      <c r="AQ62">
        <v>0</v>
      </c>
      <c r="AR62"/>
      <c r="AS62"/>
      <c r="AT62">
        <v>2.8444223000000001E-2</v>
      </c>
      <c r="AU62">
        <v>0.36539012599999998</v>
      </c>
      <c r="AV62">
        <v>0.39025437699999999</v>
      </c>
      <c r="AW62">
        <v>0.16989510699999999</v>
      </c>
      <c r="AX62">
        <v>3.9588364000000001E-2</v>
      </c>
      <c r="AY62">
        <v>6.4278030000000002E-3</v>
      </c>
      <c r="AZ62"/>
      <c r="BA62"/>
      <c r="BB62"/>
      <c r="BC62"/>
      <c r="BD62"/>
      <c r="BE62"/>
      <c r="BF62"/>
      <c r="BG62"/>
      <c r="BH62"/>
      <c r="BI62"/>
      <c r="BJ62"/>
      <c r="BK62"/>
      <c r="BL62">
        <v>0.545996751</v>
      </c>
      <c r="BM62">
        <v>1</v>
      </c>
      <c r="BN62">
        <v>1215</v>
      </c>
      <c r="BO62">
        <v>122.4119481</v>
      </c>
      <c r="BP62">
        <v>0.91654153299999996</v>
      </c>
      <c r="BQ62">
        <v>1125</v>
      </c>
      <c r="BR62">
        <v>0.34623743299999998</v>
      </c>
      <c r="BS62">
        <v>8.5856373999999999E-2</v>
      </c>
      <c r="BT62">
        <v>1</v>
      </c>
      <c r="BU62">
        <v>1215</v>
      </c>
      <c r="BV62">
        <v>1.0650007E-2</v>
      </c>
      <c r="BW62">
        <v>1.0650007E-2</v>
      </c>
      <c r="BX62">
        <v>16</v>
      </c>
      <c r="BY62">
        <v>0</v>
      </c>
      <c r="BZ62">
        <v>0.99999999999994005</v>
      </c>
      <c r="CA62">
        <v>1215</v>
      </c>
      <c r="CB62">
        <v>0</v>
      </c>
      <c r="CC62">
        <v>0.99999999999994005</v>
      </c>
      <c r="CD62">
        <v>1215</v>
      </c>
      <c r="CE62">
        <v>0</v>
      </c>
      <c r="CF62">
        <v>0.97428537686362804</v>
      </c>
      <c r="CG62">
        <v>1190</v>
      </c>
      <c r="CH62">
        <v>0</v>
      </c>
      <c r="CI62">
        <v>1</v>
      </c>
      <c r="CJ62">
        <v>1215</v>
      </c>
      <c r="CK62">
        <v>0</v>
      </c>
      <c r="CL62"/>
      <c r="CM62"/>
      <c r="CN62">
        <v>0.58216212700000003</v>
      </c>
      <c r="CO62">
        <v>0.97068818400000001</v>
      </c>
      <c r="CP62">
        <v>1184</v>
      </c>
      <c r="CQ62">
        <v>1</v>
      </c>
      <c r="CR62">
        <v>0.97428537699999995</v>
      </c>
      <c r="CS62">
        <v>1190</v>
      </c>
      <c r="CT62">
        <v>24120315</v>
      </c>
      <c r="CU62">
        <v>0.97428537699999995</v>
      </c>
      <c r="CV62">
        <v>1190</v>
      </c>
      <c r="CW62">
        <v>0.41996292600000001</v>
      </c>
      <c r="CX62">
        <v>0.91208772699999996</v>
      </c>
      <c r="CY62">
        <v>1117</v>
      </c>
      <c r="CZ62">
        <v>83348.899999999994</v>
      </c>
      <c r="DA62">
        <v>0.91776139599999995</v>
      </c>
      <c r="DB62">
        <v>1126</v>
      </c>
      <c r="DC62">
        <v>0</v>
      </c>
      <c r="DD62"/>
      <c r="DE62"/>
      <c r="DF62" s="171" t="s">
        <v>272</v>
      </c>
      <c r="DG62" s="171" t="s">
        <v>445</v>
      </c>
    </row>
    <row r="63" spans="2:111" x14ac:dyDescent="0.35">
      <c r="B63" s="171" t="str">
        <f t="shared" si="0"/>
        <v>iBoxx USD High Yield Corporates Developed Markets SRI Screened45626</v>
      </c>
      <c r="C63">
        <v>655</v>
      </c>
      <c r="D63" t="s">
        <v>477</v>
      </c>
      <c r="E63" t="s">
        <v>271</v>
      </c>
      <c r="F63" s="26">
        <v>45626</v>
      </c>
      <c r="G63">
        <v>1213</v>
      </c>
      <c r="H63">
        <v>0</v>
      </c>
      <c r="I63">
        <v>1213</v>
      </c>
      <c r="J63" s="27">
        <v>0</v>
      </c>
      <c r="K63" s="27">
        <v>1</v>
      </c>
      <c r="L63" t="s">
        <v>444</v>
      </c>
      <c r="M63" s="32">
        <v>23.168779690000001</v>
      </c>
      <c r="N63" s="27">
        <v>0.97048435700000002</v>
      </c>
      <c r="O63" s="133">
        <v>1180</v>
      </c>
      <c r="P63" s="32">
        <v>6.4528824489999996</v>
      </c>
      <c r="Q63">
        <v>0.54755811600000004</v>
      </c>
      <c r="R63">
        <v>599</v>
      </c>
      <c r="S63">
        <v>9.759625905</v>
      </c>
      <c r="T63">
        <v>0.54755811600000004</v>
      </c>
      <c r="U63">
        <v>599</v>
      </c>
      <c r="V63">
        <v>5.4889557800000004</v>
      </c>
      <c r="W63">
        <v>0.54755811600000004</v>
      </c>
      <c r="X63">
        <v>599</v>
      </c>
      <c r="Y63">
        <v>0</v>
      </c>
      <c r="Z63"/>
      <c r="AA63"/>
      <c r="AB63">
        <v>0</v>
      </c>
      <c r="AC63"/>
      <c r="AD63"/>
      <c r="AE63">
        <v>0.13725773930000001</v>
      </c>
      <c r="AF63">
        <v>3.2975449999999998E-3</v>
      </c>
      <c r="AG63">
        <v>5</v>
      </c>
      <c r="AH63">
        <v>0.55638335299999997</v>
      </c>
      <c r="AI63">
        <v>8.0197150999999994E-2</v>
      </c>
      <c r="AJ63">
        <v>106</v>
      </c>
      <c r="AK63">
        <v>0</v>
      </c>
      <c r="AL63"/>
      <c r="AM63"/>
      <c r="AN63">
        <v>0</v>
      </c>
      <c r="AO63"/>
      <c r="AP63"/>
      <c r="AQ63">
        <v>0</v>
      </c>
      <c r="AR63"/>
      <c r="AS63"/>
      <c r="AT63">
        <v>2.5697197000000001E-2</v>
      </c>
      <c r="AU63">
        <v>0.368766398</v>
      </c>
      <c r="AV63">
        <v>0.38973928200000002</v>
      </c>
      <c r="AW63">
        <v>0.17113266699999999</v>
      </c>
      <c r="AX63">
        <v>3.8274905999999997E-2</v>
      </c>
      <c r="AY63">
        <v>6.3895499999999999E-3</v>
      </c>
      <c r="AZ63"/>
      <c r="BA63"/>
      <c r="BB63"/>
      <c r="BC63"/>
      <c r="BD63"/>
      <c r="BE63"/>
      <c r="BF63"/>
      <c r="BG63"/>
      <c r="BH63"/>
      <c r="BI63"/>
      <c r="BJ63"/>
      <c r="BK63"/>
      <c r="BL63">
        <v>0.55253024399999995</v>
      </c>
      <c r="BM63">
        <v>1</v>
      </c>
      <c r="BN63">
        <v>1213</v>
      </c>
      <c r="BO63">
        <v>122.1307297</v>
      </c>
      <c r="BP63">
        <v>0.91842801799999996</v>
      </c>
      <c r="BQ63">
        <v>1123</v>
      </c>
      <c r="BR63">
        <v>0.35063053999999999</v>
      </c>
      <c r="BS63">
        <v>8.6209147E-2</v>
      </c>
      <c r="BT63">
        <v>1</v>
      </c>
      <c r="BU63">
        <v>1213</v>
      </c>
      <c r="BV63">
        <v>1.0472475E-2</v>
      </c>
      <c r="BW63">
        <v>1.0472475E-2</v>
      </c>
      <c r="BX63">
        <v>16</v>
      </c>
      <c r="BY63">
        <v>0</v>
      </c>
      <c r="BZ63">
        <v>0.99999999999994205</v>
      </c>
      <c r="CA63">
        <v>1213</v>
      </c>
      <c r="CB63">
        <v>0</v>
      </c>
      <c r="CC63">
        <v>0.99999999999994205</v>
      </c>
      <c r="CD63">
        <v>1213</v>
      </c>
      <c r="CE63">
        <v>0</v>
      </c>
      <c r="CF63">
        <v>0.976136311691438</v>
      </c>
      <c r="CG63">
        <v>1189</v>
      </c>
      <c r="CH63">
        <v>0</v>
      </c>
      <c r="CI63">
        <v>1</v>
      </c>
      <c r="CJ63">
        <v>1213</v>
      </c>
      <c r="CK63">
        <v>0</v>
      </c>
      <c r="CL63"/>
      <c r="CM63"/>
      <c r="CN63">
        <v>0.58513249099999998</v>
      </c>
      <c r="CO63">
        <v>0.97256746000000005</v>
      </c>
      <c r="CP63">
        <v>1183</v>
      </c>
      <c r="CQ63">
        <v>1</v>
      </c>
      <c r="CR63">
        <v>0.97613631199999995</v>
      </c>
      <c r="CS63">
        <v>1189</v>
      </c>
      <c r="CT63">
        <v>24120315</v>
      </c>
      <c r="CU63">
        <v>0.97613631199999995</v>
      </c>
      <c r="CV63">
        <v>1189</v>
      </c>
      <c r="CW63">
        <v>0.41945478200000003</v>
      </c>
      <c r="CX63">
        <v>0.91416723300000002</v>
      </c>
      <c r="CY63">
        <v>1115</v>
      </c>
      <c r="CZ63">
        <v>83261.600000000006</v>
      </c>
      <c r="DA63">
        <v>0.91966108899999999</v>
      </c>
      <c r="DB63">
        <v>1124</v>
      </c>
      <c r="DC63">
        <v>0</v>
      </c>
      <c r="DD63"/>
      <c r="DE63"/>
      <c r="DF63" s="171" t="s">
        <v>272</v>
      </c>
      <c r="DG63" s="171" t="s">
        <v>445</v>
      </c>
    </row>
    <row r="64" spans="2:111" x14ac:dyDescent="0.35">
      <c r="B64" s="171" t="str">
        <f t="shared" si="0"/>
        <v>iBoxx Global Core Corporates SRI Screened45596</v>
      </c>
      <c r="C64">
        <v>656</v>
      </c>
      <c r="D64" t="s">
        <v>478</v>
      </c>
      <c r="E64" t="s">
        <v>188</v>
      </c>
      <c r="F64" s="26">
        <v>45596</v>
      </c>
      <c r="G64">
        <v>11167</v>
      </c>
      <c r="H64">
        <v>0</v>
      </c>
      <c r="I64">
        <v>11167</v>
      </c>
      <c r="J64" s="27">
        <v>0</v>
      </c>
      <c r="K64" s="27">
        <v>1</v>
      </c>
      <c r="L64" t="s">
        <v>444</v>
      </c>
      <c r="M64" s="32">
        <v>20.35875888</v>
      </c>
      <c r="N64" s="27">
        <v>0.95703662700000003</v>
      </c>
      <c r="O64" s="133">
        <v>10506</v>
      </c>
      <c r="P64" s="32">
        <v>3.9450861179999999</v>
      </c>
      <c r="Q64">
        <v>0.933084358</v>
      </c>
      <c r="R64">
        <v>10153</v>
      </c>
      <c r="S64">
        <v>9.6810740590000002</v>
      </c>
      <c r="T64">
        <v>0.933084358</v>
      </c>
      <c r="U64">
        <v>10153</v>
      </c>
      <c r="V64">
        <v>6.5215985710000002</v>
      </c>
      <c r="W64">
        <v>0.933084358</v>
      </c>
      <c r="X64">
        <v>10153</v>
      </c>
      <c r="Y64">
        <v>0</v>
      </c>
      <c r="Z64"/>
      <c r="AA64"/>
      <c r="AB64">
        <v>0</v>
      </c>
      <c r="AC64"/>
      <c r="AD64"/>
      <c r="AE64">
        <v>0.22075871660000002</v>
      </c>
      <c r="AF64">
        <v>2.9604486999999999E-2</v>
      </c>
      <c r="AG64">
        <v>351</v>
      </c>
      <c r="AH64">
        <v>0.42633779100000002</v>
      </c>
      <c r="AI64">
        <v>0.100570879</v>
      </c>
      <c r="AJ64">
        <v>1193</v>
      </c>
      <c r="AK64">
        <v>0</v>
      </c>
      <c r="AL64"/>
      <c r="AM64"/>
      <c r="AN64">
        <v>0</v>
      </c>
      <c r="AO64"/>
      <c r="AP64"/>
      <c r="AQ64">
        <v>0</v>
      </c>
      <c r="AR64"/>
      <c r="AS64"/>
      <c r="AT64">
        <v>4.1623802000000001E-2</v>
      </c>
      <c r="AU64">
        <v>0.41060373100000003</v>
      </c>
      <c r="AV64">
        <v>0.48461103300000002</v>
      </c>
      <c r="AW64">
        <v>5.2474912999999998E-2</v>
      </c>
      <c r="AX64">
        <v>7.5445269999999997E-3</v>
      </c>
      <c r="AY64">
        <v>3.141994E-3</v>
      </c>
      <c r="AZ64"/>
      <c r="BA64"/>
      <c r="BB64"/>
      <c r="BC64"/>
      <c r="BD64"/>
      <c r="BE64"/>
      <c r="BF64"/>
      <c r="BG64"/>
      <c r="BH64"/>
      <c r="BI64"/>
      <c r="BJ64"/>
      <c r="BK64"/>
      <c r="BL64">
        <v>0.41128801199999998</v>
      </c>
      <c r="BM64">
        <v>1</v>
      </c>
      <c r="BN64">
        <v>11167</v>
      </c>
      <c r="BO64">
        <v>54.25855773</v>
      </c>
      <c r="BP64">
        <v>0.86188653500000001</v>
      </c>
      <c r="BQ64">
        <v>9205</v>
      </c>
      <c r="BR64">
        <v>3.1754892E-2</v>
      </c>
      <c r="BS64">
        <v>5.3872387000000001E-2</v>
      </c>
      <c r="BT64">
        <v>1</v>
      </c>
      <c r="BU64">
        <v>11167</v>
      </c>
      <c r="BV64">
        <v>6.2715601999999995E-2</v>
      </c>
      <c r="BW64">
        <v>6.2715601999999995E-2</v>
      </c>
      <c r="BX64">
        <v>865</v>
      </c>
      <c r="BY64">
        <v>0</v>
      </c>
      <c r="BZ64">
        <v>0.999999999999446</v>
      </c>
      <c r="CA64">
        <v>11167</v>
      </c>
      <c r="CB64">
        <v>0</v>
      </c>
      <c r="CC64">
        <v>0.999999999999446</v>
      </c>
      <c r="CD64">
        <v>11167</v>
      </c>
      <c r="CE64">
        <v>0</v>
      </c>
      <c r="CF64">
        <v>0.95897042758112905</v>
      </c>
      <c r="CG64">
        <v>10534</v>
      </c>
      <c r="CH64">
        <v>0</v>
      </c>
      <c r="CI64">
        <v>1</v>
      </c>
      <c r="CJ64">
        <v>11167</v>
      </c>
      <c r="CK64">
        <v>0</v>
      </c>
      <c r="CL64"/>
      <c r="CM64"/>
      <c r="CN64">
        <v>0.22490355100000001</v>
      </c>
      <c r="CO64">
        <v>0.957877376</v>
      </c>
      <c r="CP64">
        <v>10516</v>
      </c>
      <c r="CQ64">
        <v>21</v>
      </c>
      <c r="CR64">
        <v>0.95897042799999999</v>
      </c>
      <c r="CS64">
        <v>10534</v>
      </c>
      <c r="CT64">
        <v>903417423.10000002</v>
      </c>
      <c r="CU64">
        <v>0.95897042799999999</v>
      </c>
      <c r="CV64">
        <v>10534</v>
      </c>
      <c r="CW64">
        <v>0.53411827899999997</v>
      </c>
      <c r="CX64">
        <v>0.85323634400000004</v>
      </c>
      <c r="CY64">
        <v>9119</v>
      </c>
      <c r="CZ64">
        <v>659055.30000000005</v>
      </c>
      <c r="DA64">
        <v>0.86013049699999999</v>
      </c>
      <c r="DB64">
        <v>9188</v>
      </c>
      <c r="DC64">
        <v>0</v>
      </c>
      <c r="DD64"/>
      <c r="DE64"/>
      <c r="DF64" s="171" t="s">
        <v>189</v>
      </c>
      <c r="DG64" s="171" t="s">
        <v>445</v>
      </c>
    </row>
    <row r="65" spans="2:111" x14ac:dyDescent="0.35">
      <c r="B65" s="171" t="str">
        <f t="shared" si="0"/>
        <v>iBoxx Global Core Corporates SRI Screened45626</v>
      </c>
      <c r="C65">
        <v>708</v>
      </c>
      <c r="D65" t="s">
        <v>478</v>
      </c>
      <c r="E65" t="s">
        <v>188</v>
      </c>
      <c r="F65" s="26">
        <v>45626</v>
      </c>
      <c r="G65">
        <v>11206</v>
      </c>
      <c r="H65">
        <v>0</v>
      </c>
      <c r="I65">
        <v>11206</v>
      </c>
      <c r="J65" s="27">
        <v>0</v>
      </c>
      <c r="K65" s="27">
        <v>1</v>
      </c>
      <c r="L65" t="s">
        <v>444</v>
      </c>
      <c r="M65" s="32">
        <v>20.366071779999999</v>
      </c>
      <c r="N65" s="27">
        <v>0.95671280700000005</v>
      </c>
      <c r="O65" s="133">
        <v>10545</v>
      </c>
      <c r="P65" s="32">
        <v>3.9546733879999998</v>
      </c>
      <c r="Q65">
        <v>0.93277244100000001</v>
      </c>
      <c r="R65">
        <v>10193</v>
      </c>
      <c r="S65">
        <v>9.6813495199999995</v>
      </c>
      <c r="T65">
        <v>0.93277244100000001</v>
      </c>
      <c r="U65">
        <v>10193</v>
      </c>
      <c r="V65">
        <v>6.5198870539999998</v>
      </c>
      <c r="W65">
        <v>0.93277244100000001</v>
      </c>
      <c r="X65">
        <v>10193</v>
      </c>
      <c r="Y65">
        <v>0</v>
      </c>
      <c r="Z65"/>
      <c r="AA65"/>
      <c r="AB65">
        <v>0</v>
      </c>
      <c r="AC65"/>
      <c r="AD65"/>
      <c r="AE65">
        <v>0.22219727110000001</v>
      </c>
      <c r="AF65">
        <v>2.9170372999999999E-2</v>
      </c>
      <c r="AG65">
        <v>348</v>
      </c>
      <c r="AH65">
        <v>0.42833821399999999</v>
      </c>
      <c r="AI65">
        <v>0.100600971</v>
      </c>
      <c r="AJ65">
        <v>1198</v>
      </c>
      <c r="AK65">
        <v>0</v>
      </c>
      <c r="AL65"/>
      <c r="AM65"/>
      <c r="AN65">
        <v>0</v>
      </c>
      <c r="AO65"/>
      <c r="AP65"/>
      <c r="AQ65">
        <v>0</v>
      </c>
      <c r="AR65"/>
      <c r="AS65"/>
      <c r="AT65">
        <v>3.9266057E-2</v>
      </c>
      <c r="AU65">
        <v>0.424062524</v>
      </c>
      <c r="AV65">
        <v>0.471721432</v>
      </c>
      <c r="AW65">
        <v>5.4804124000000003E-2</v>
      </c>
      <c r="AX65">
        <v>7.2628099999999998E-3</v>
      </c>
      <c r="AY65">
        <v>2.883053E-3</v>
      </c>
      <c r="AZ65"/>
      <c r="BA65"/>
      <c r="BB65"/>
      <c r="BC65"/>
      <c r="BD65"/>
      <c r="BE65"/>
      <c r="BF65"/>
      <c r="BG65"/>
      <c r="BH65"/>
      <c r="BI65"/>
      <c r="BJ65"/>
      <c r="BK65"/>
      <c r="BL65">
        <v>0.41189341899999998</v>
      </c>
      <c r="BM65">
        <v>1</v>
      </c>
      <c r="BN65">
        <v>11206</v>
      </c>
      <c r="BO65">
        <v>54.306494659999998</v>
      </c>
      <c r="BP65">
        <v>0.86190988300000004</v>
      </c>
      <c r="BQ65">
        <v>9235</v>
      </c>
      <c r="BR65">
        <v>3.1764786000000003E-2</v>
      </c>
      <c r="BS65">
        <v>5.4187605E-2</v>
      </c>
      <c r="BT65">
        <v>1</v>
      </c>
      <c r="BU65">
        <v>11206</v>
      </c>
      <c r="BV65">
        <v>6.2618954000000004E-2</v>
      </c>
      <c r="BW65">
        <v>6.2618954000000004E-2</v>
      </c>
      <c r="BX65">
        <v>875</v>
      </c>
      <c r="BY65">
        <v>0</v>
      </c>
      <c r="BZ65">
        <v>0.99999999999944</v>
      </c>
      <c r="CA65">
        <v>11206</v>
      </c>
      <c r="CB65">
        <v>0</v>
      </c>
      <c r="CC65">
        <v>0.99999999999944</v>
      </c>
      <c r="CD65">
        <v>11206</v>
      </c>
      <c r="CE65">
        <v>0</v>
      </c>
      <c r="CF65">
        <v>0.958266623848401</v>
      </c>
      <c r="CG65">
        <v>10567</v>
      </c>
      <c r="CH65">
        <v>0</v>
      </c>
      <c r="CI65">
        <v>1</v>
      </c>
      <c r="CJ65">
        <v>11206</v>
      </c>
      <c r="CK65">
        <v>0</v>
      </c>
      <c r="CL65"/>
      <c r="CM65"/>
      <c r="CN65">
        <v>0.22612987700000001</v>
      </c>
      <c r="CO65">
        <v>0.95755988299999995</v>
      </c>
      <c r="CP65">
        <v>10555</v>
      </c>
      <c r="CQ65">
        <v>21</v>
      </c>
      <c r="CR65">
        <v>0.95826662399999996</v>
      </c>
      <c r="CS65">
        <v>10567</v>
      </c>
      <c r="CT65">
        <v>903417423.10000002</v>
      </c>
      <c r="CU65">
        <v>0.95826662399999996</v>
      </c>
      <c r="CV65">
        <v>10567</v>
      </c>
      <c r="CW65">
        <v>0.53403421399999995</v>
      </c>
      <c r="CX65">
        <v>0.85317682800000005</v>
      </c>
      <c r="CY65">
        <v>9149</v>
      </c>
      <c r="CZ65">
        <v>661013.30000000005</v>
      </c>
      <c r="DA65">
        <v>0.86011500200000002</v>
      </c>
      <c r="DB65">
        <v>9218</v>
      </c>
      <c r="DC65">
        <v>0</v>
      </c>
      <c r="DD65"/>
      <c r="DE65"/>
      <c r="DF65" s="171" t="s">
        <v>189</v>
      </c>
      <c r="DG65" s="171" t="s">
        <v>445</v>
      </c>
    </row>
    <row r="66" spans="2:111" x14ac:dyDescent="0.35">
      <c r="B66" s="171" t="str">
        <f t="shared" si="0"/>
        <v>iBoxx Global Core Corporates ESG45596</v>
      </c>
      <c r="C66">
        <v>1031</v>
      </c>
      <c r="D66" t="s">
        <v>479</v>
      </c>
      <c r="E66" t="s">
        <v>186</v>
      </c>
      <c r="F66" s="26">
        <v>45596</v>
      </c>
      <c r="G66">
        <v>10357</v>
      </c>
      <c r="H66">
        <v>0</v>
      </c>
      <c r="I66">
        <v>10357</v>
      </c>
      <c r="J66" s="27">
        <v>0</v>
      </c>
      <c r="K66" s="27">
        <v>1</v>
      </c>
      <c r="L66" t="s">
        <v>444</v>
      </c>
      <c r="M66" s="32">
        <v>19.52212115</v>
      </c>
      <c r="N66" s="27">
        <v>0.96813154599999995</v>
      </c>
      <c r="O66" s="133">
        <v>9893</v>
      </c>
      <c r="P66" s="32">
        <v>3.4285495570000002</v>
      </c>
      <c r="Q66">
        <v>0.95185114400000004</v>
      </c>
      <c r="R66">
        <v>9668</v>
      </c>
      <c r="S66">
        <v>9.5441141090000006</v>
      </c>
      <c r="T66">
        <v>0.95185114400000004</v>
      </c>
      <c r="U66">
        <v>9668</v>
      </c>
      <c r="V66">
        <v>6.4957403820000001</v>
      </c>
      <c r="W66">
        <v>0.95185114400000004</v>
      </c>
      <c r="X66">
        <v>9668</v>
      </c>
      <c r="Y66">
        <v>0</v>
      </c>
      <c r="Z66"/>
      <c r="AA66"/>
      <c r="AB66">
        <v>0</v>
      </c>
      <c r="AC66"/>
      <c r="AD66"/>
      <c r="AE66">
        <v>0.22060107039999999</v>
      </c>
      <c r="AF66">
        <v>3.1289910999999997E-2</v>
      </c>
      <c r="AG66">
        <v>346</v>
      </c>
      <c r="AH66">
        <v>0.46693428799999998</v>
      </c>
      <c r="AI66">
        <v>8.3528472000000006E-2</v>
      </c>
      <c r="AJ66">
        <v>961</v>
      </c>
      <c r="AK66">
        <v>0</v>
      </c>
      <c r="AL66"/>
      <c r="AM66"/>
      <c r="AN66">
        <v>0</v>
      </c>
      <c r="AO66"/>
      <c r="AP66"/>
      <c r="AQ66">
        <v>0</v>
      </c>
      <c r="AR66"/>
      <c r="AS66"/>
      <c r="AT66">
        <v>4.4429952000000002E-2</v>
      </c>
      <c r="AU66">
        <v>0.438285386</v>
      </c>
      <c r="AV66">
        <v>0.51728466100000003</v>
      </c>
      <c r="AW66">
        <v>0</v>
      </c>
      <c r="AX66">
        <v>0</v>
      </c>
      <c r="AY66">
        <v>0</v>
      </c>
      <c r="AZ66"/>
      <c r="BA66"/>
      <c r="BB66"/>
      <c r="BC66"/>
      <c r="BD66"/>
      <c r="BE66"/>
      <c r="BF66"/>
      <c r="BG66"/>
      <c r="BH66"/>
      <c r="BI66"/>
      <c r="BJ66"/>
      <c r="BK66"/>
      <c r="BL66">
        <v>0.38794930999999999</v>
      </c>
      <c r="BM66">
        <v>1</v>
      </c>
      <c r="BN66">
        <v>10357</v>
      </c>
      <c r="BO66">
        <v>39.527670999999998</v>
      </c>
      <c r="BP66">
        <v>0.87426514300000002</v>
      </c>
      <c r="BQ66">
        <v>8698</v>
      </c>
      <c r="BR66">
        <v>2.9209032999999999E-2</v>
      </c>
      <c r="BS66">
        <v>3.4324487000000001E-2</v>
      </c>
      <c r="BT66">
        <v>1</v>
      </c>
      <c r="BU66">
        <v>10357</v>
      </c>
      <c r="BV66">
        <v>6.3458808000000005E-2</v>
      </c>
      <c r="BW66">
        <v>6.3458808000000005E-2</v>
      </c>
      <c r="BX66">
        <v>815</v>
      </c>
      <c r="BY66">
        <v>0</v>
      </c>
      <c r="BZ66">
        <v>0.99999999999948597</v>
      </c>
      <c r="CA66">
        <v>10357</v>
      </c>
      <c r="CB66">
        <v>0</v>
      </c>
      <c r="CC66">
        <v>0.99999999999948597</v>
      </c>
      <c r="CD66">
        <v>10357</v>
      </c>
      <c r="CE66">
        <v>0</v>
      </c>
      <c r="CF66">
        <v>0.96813154565390902</v>
      </c>
      <c r="CG66">
        <v>9893</v>
      </c>
      <c r="CH66">
        <v>0</v>
      </c>
      <c r="CI66">
        <v>1</v>
      </c>
      <c r="CJ66">
        <v>10357</v>
      </c>
      <c r="CK66">
        <v>0</v>
      </c>
      <c r="CL66"/>
      <c r="CM66"/>
      <c r="CN66">
        <v>0.219156142</v>
      </c>
      <c r="CO66">
        <v>0.96813154599999995</v>
      </c>
      <c r="CP66">
        <v>9893</v>
      </c>
      <c r="CQ66">
        <v>11</v>
      </c>
      <c r="CR66">
        <v>0.96813154599999995</v>
      </c>
      <c r="CS66">
        <v>9893</v>
      </c>
      <c r="CT66">
        <v>846400933.60000002</v>
      </c>
      <c r="CU66">
        <v>0.96813154599999995</v>
      </c>
      <c r="CV66">
        <v>9893</v>
      </c>
      <c r="CW66">
        <v>0.543413276</v>
      </c>
      <c r="CX66">
        <v>0.86481596100000002</v>
      </c>
      <c r="CY66">
        <v>8609</v>
      </c>
      <c r="CZ66">
        <v>627907.9</v>
      </c>
      <c r="DA66">
        <v>0.87286086299999999</v>
      </c>
      <c r="DB66">
        <v>8685</v>
      </c>
      <c r="DC66">
        <v>0</v>
      </c>
      <c r="DD66"/>
      <c r="DE66"/>
      <c r="DF66" s="171" t="s">
        <v>187</v>
      </c>
      <c r="DG66" s="171" t="s">
        <v>445</v>
      </c>
    </row>
    <row r="67" spans="2:111" x14ac:dyDescent="0.35">
      <c r="B67" s="171" t="str">
        <f t="shared" si="0"/>
        <v>iBoxx Global Core Corporates ESG45626</v>
      </c>
      <c r="C67">
        <v>1060</v>
      </c>
      <c r="D67" t="s">
        <v>479</v>
      </c>
      <c r="E67" t="s">
        <v>186</v>
      </c>
      <c r="F67" s="26">
        <v>45626</v>
      </c>
      <c r="G67">
        <v>10385</v>
      </c>
      <c r="H67">
        <v>0</v>
      </c>
      <c r="I67">
        <v>10385</v>
      </c>
      <c r="J67" s="27">
        <v>0</v>
      </c>
      <c r="K67" s="27">
        <v>1</v>
      </c>
      <c r="L67" t="s">
        <v>444</v>
      </c>
      <c r="M67" s="32">
        <v>19.492359610000001</v>
      </c>
      <c r="N67" s="27">
        <v>0.96740646500000005</v>
      </c>
      <c r="O67" s="133">
        <v>9919</v>
      </c>
      <c r="P67" s="32">
        <v>3.4426282669999999</v>
      </c>
      <c r="Q67">
        <v>0.95358818899999997</v>
      </c>
      <c r="R67">
        <v>9717</v>
      </c>
      <c r="S67">
        <v>9.5428180250000008</v>
      </c>
      <c r="T67">
        <v>0.95358818899999997</v>
      </c>
      <c r="U67">
        <v>9717</v>
      </c>
      <c r="V67">
        <v>6.4903846700000001</v>
      </c>
      <c r="W67">
        <v>0.95358818899999997</v>
      </c>
      <c r="X67">
        <v>9717</v>
      </c>
      <c r="Y67">
        <v>0</v>
      </c>
      <c r="Z67"/>
      <c r="AA67"/>
      <c r="AB67">
        <v>0</v>
      </c>
      <c r="AC67"/>
      <c r="AD67"/>
      <c r="AE67">
        <v>0.22204367550000001</v>
      </c>
      <c r="AF67">
        <v>3.0889702000000002E-2</v>
      </c>
      <c r="AG67">
        <v>343</v>
      </c>
      <c r="AH67">
        <v>0.45996464100000001</v>
      </c>
      <c r="AI67">
        <v>8.1132424999999994E-2</v>
      </c>
      <c r="AJ67">
        <v>944</v>
      </c>
      <c r="AK67">
        <v>0</v>
      </c>
      <c r="AL67"/>
      <c r="AM67"/>
      <c r="AN67">
        <v>0</v>
      </c>
      <c r="AO67"/>
      <c r="AP67"/>
      <c r="AQ67">
        <v>0</v>
      </c>
      <c r="AR67"/>
      <c r="AS67"/>
      <c r="AT67">
        <v>4.1993379999999997E-2</v>
      </c>
      <c r="AU67">
        <v>0.45351684799999997</v>
      </c>
      <c r="AV67">
        <v>0.504489772</v>
      </c>
      <c r="AW67">
        <v>0</v>
      </c>
      <c r="AX67">
        <v>0</v>
      </c>
      <c r="AY67">
        <v>0</v>
      </c>
      <c r="AZ67"/>
      <c r="BA67"/>
      <c r="BB67"/>
      <c r="BC67"/>
      <c r="BD67"/>
      <c r="BE67"/>
      <c r="BF67"/>
      <c r="BG67"/>
      <c r="BH67"/>
      <c r="BI67"/>
      <c r="BJ67"/>
      <c r="BK67"/>
      <c r="BL67">
        <v>0.38691365500000002</v>
      </c>
      <c r="BM67">
        <v>1</v>
      </c>
      <c r="BN67">
        <v>10385</v>
      </c>
      <c r="BO67">
        <v>39.056009199999998</v>
      </c>
      <c r="BP67">
        <v>0.873971155</v>
      </c>
      <c r="BQ67">
        <v>8719</v>
      </c>
      <c r="BR67">
        <v>2.9250215E-2</v>
      </c>
      <c r="BS67">
        <v>3.4701674000000002E-2</v>
      </c>
      <c r="BT67">
        <v>1</v>
      </c>
      <c r="BU67">
        <v>10385</v>
      </c>
      <c r="BV67">
        <v>6.3538685999999997E-2</v>
      </c>
      <c r="BW67">
        <v>6.3538685999999997E-2</v>
      </c>
      <c r="BX67">
        <v>826</v>
      </c>
      <c r="BY67">
        <v>0</v>
      </c>
      <c r="BZ67">
        <v>0.99999999999948597</v>
      </c>
      <c r="CA67">
        <v>10385</v>
      </c>
      <c r="CB67">
        <v>0</v>
      </c>
      <c r="CC67">
        <v>0.99999999999948597</v>
      </c>
      <c r="CD67">
        <v>10385</v>
      </c>
      <c r="CE67">
        <v>0</v>
      </c>
      <c r="CF67">
        <v>0.96740646480185399</v>
      </c>
      <c r="CG67">
        <v>9919</v>
      </c>
      <c r="CH67">
        <v>0</v>
      </c>
      <c r="CI67">
        <v>1</v>
      </c>
      <c r="CJ67">
        <v>10385</v>
      </c>
      <c r="CK67">
        <v>0</v>
      </c>
      <c r="CL67"/>
      <c r="CM67"/>
      <c r="CN67">
        <v>0.22031606400000001</v>
      </c>
      <c r="CO67">
        <v>0.96740646500000005</v>
      </c>
      <c r="CP67">
        <v>9919</v>
      </c>
      <c r="CQ67">
        <v>11</v>
      </c>
      <c r="CR67">
        <v>0.96740646500000005</v>
      </c>
      <c r="CS67">
        <v>9919</v>
      </c>
      <c r="CT67">
        <v>846400933.60000002</v>
      </c>
      <c r="CU67">
        <v>0.96740646500000005</v>
      </c>
      <c r="CV67">
        <v>9919</v>
      </c>
      <c r="CW67">
        <v>0.54383639299999997</v>
      </c>
      <c r="CX67">
        <v>0.86441655900000003</v>
      </c>
      <c r="CY67">
        <v>8630</v>
      </c>
      <c r="CZ67">
        <v>629696.5</v>
      </c>
      <c r="DA67">
        <v>0.87253557800000003</v>
      </c>
      <c r="DB67">
        <v>8706</v>
      </c>
      <c r="DC67">
        <v>0</v>
      </c>
      <c r="DD67"/>
      <c r="DE67"/>
      <c r="DF67" s="171" t="s">
        <v>187</v>
      </c>
      <c r="DG67" s="171" t="s">
        <v>445</v>
      </c>
    </row>
    <row r="68" spans="2:111" x14ac:dyDescent="0.35">
      <c r="B68" s="171" t="str">
        <f t="shared" si="0"/>
        <v>Markit iBoxx Global Corporates Liquid 150 Capped45596</v>
      </c>
      <c r="C68">
        <v>1061</v>
      </c>
      <c r="D68" t="s">
        <v>480</v>
      </c>
      <c r="E68" t="s">
        <v>275</v>
      </c>
      <c r="F68" s="26">
        <v>45596</v>
      </c>
      <c r="G68">
        <v>145</v>
      </c>
      <c r="H68">
        <v>0</v>
      </c>
      <c r="I68">
        <v>145</v>
      </c>
      <c r="J68" s="27">
        <v>0</v>
      </c>
      <c r="K68" s="27">
        <v>1</v>
      </c>
      <c r="L68" t="s">
        <v>444</v>
      </c>
      <c r="M68" s="32">
        <v>20.515791719999999</v>
      </c>
      <c r="N68" s="27">
        <v>0.95026791700000002</v>
      </c>
      <c r="O68" s="133">
        <v>138</v>
      </c>
      <c r="P68" s="32">
        <v>3.1579574479999999</v>
      </c>
      <c r="Q68">
        <v>0.95026791700000002</v>
      </c>
      <c r="R68">
        <v>138</v>
      </c>
      <c r="S68">
        <v>9.8196031329999993</v>
      </c>
      <c r="T68">
        <v>0.95026791700000002</v>
      </c>
      <c r="U68">
        <v>138</v>
      </c>
      <c r="V68">
        <v>7.538231143</v>
      </c>
      <c r="W68">
        <v>0.95026791700000002</v>
      </c>
      <c r="X68">
        <v>138</v>
      </c>
      <c r="Y68">
        <v>0</v>
      </c>
      <c r="Z68"/>
      <c r="AA68"/>
      <c r="AB68">
        <v>0</v>
      </c>
      <c r="AC68"/>
      <c r="AD68"/>
      <c r="AE68">
        <v>0.3</v>
      </c>
      <c r="AF68">
        <v>7.5469710000000004E-3</v>
      </c>
      <c r="AG68">
        <v>1</v>
      </c>
      <c r="AH68">
        <v>0.13772041300000001</v>
      </c>
      <c r="AI68">
        <v>4.6894123000000003E-2</v>
      </c>
      <c r="AJ68">
        <v>6</v>
      </c>
      <c r="AK68">
        <v>0</v>
      </c>
      <c r="AL68"/>
      <c r="AM68"/>
      <c r="AN68">
        <v>0</v>
      </c>
      <c r="AO68"/>
      <c r="AP68"/>
      <c r="AQ68">
        <v>0</v>
      </c>
      <c r="AR68"/>
      <c r="AS68"/>
      <c r="AT68">
        <v>4.1372517999999997E-2</v>
      </c>
      <c r="AU68">
        <v>0.35484310000000002</v>
      </c>
      <c r="AV68">
        <v>0.496751045</v>
      </c>
      <c r="AW68">
        <v>5.7301253000000003E-2</v>
      </c>
      <c r="AX68">
        <v>0</v>
      </c>
      <c r="AY68">
        <v>4.9732083000000003E-2</v>
      </c>
      <c r="AZ68"/>
      <c r="BA68"/>
      <c r="BB68"/>
      <c r="BC68"/>
      <c r="BD68"/>
      <c r="BE68"/>
      <c r="BF68"/>
      <c r="BG68"/>
      <c r="BH68"/>
      <c r="BI68"/>
      <c r="BJ68"/>
      <c r="BK68"/>
      <c r="BL68">
        <v>0.181917462</v>
      </c>
      <c r="BM68">
        <v>1</v>
      </c>
      <c r="BN68">
        <v>145</v>
      </c>
      <c r="BO68">
        <v>76.000697729999999</v>
      </c>
      <c r="BP68">
        <v>0.79776250000000004</v>
      </c>
      <c r="BQ68">
        <v>116</v>
      </c>
      <c r="BR68" s="28">
        <v>0</v>
      </c>
      <c r="BS68">
        <v>5.1775295999999998E-2</v>
      </c>
      <c r="BT68">
        <v>1</v>
      </c>
      <c r="BU68">
        <v>145</v>
      </c>
      <c r="BV68">
        <v>3.1603383999999998E-2</v>
      </c>
      <c r="BW68">
        <v>3.1603383999999998E-2</v>
      </c>
      <c r="BX68">
        <v>5</v>
      </c>
      <c r="BY68">
        <v>0</v>
      </c>
      <c r="BZ68">
        <v>0.999999999999994</v>
      </c>
      <c r="CA68">
        <v>145</v>
      </c>
      <c r="CB68">
        <v>0</v>
      </c>
      <c r="CC68">
        <v>0.999999999999994</v>
      </c>
      <c r="CD68">
        <v>145</v>
      </c>
      <c r="CE68">
        <v>0</v>
      </c>
      <c r="CF68">
        <v>0.95026791695372803</v>
      </c>
      <c r="CG68">
        <v>138</v>
      </c>
      <c r="CH68">
        <v>0</v>
      </c>
      <c r="CI68">
        <v>1</v>
      </c>
      <c r="CJ68">
        <v>145</v>
      </c>
      <c r="CK68">
        <v>0</v>
      </c>
      <c r="CL68"/>
      <c r="CM68"/>
      <c r="CN68">
        <v>0.18957504999999999</v>
      </c>
      <c r="CO68">
        <v>0.95026791700000002</v>
      </c>
      <c r="CP68">
        <v>138</v>
      </c>
      <c r="CQ68">
        <v>1</v>
      </c>
      <c r="CR68">
        <v>0.95026791700000002</v>
      </c>
      <c r="CS68">
        <v>138</v>
      </c>
      <c r="CT68">
        <v>205161.3</v>
      </c>
      <c r="CU68">
        <v>0.95026791700000002</v>
      </c>
      <c r="CV68">
        <v>138</v>
      </c>
      <c r="CW68">
        <v>0.50713445199999996</v>
      </c>
      <c r="CX68">
        <v>0.77651848499999998</v>
      </c>
      <c r="CY68">
        <v>112</v>
      </c>
      <c r="CZ68">
        <v>7957.6</v>
      </c>
      <c r="DA68">
        <v>0.79776250000000004</v>
      </c>
      <c r="DB68">
        <v>116</v>
      </c>
      <c r="DC68">
        <v>0</v>
      </c>
      <c r="DD68"/>
      <c r="DE68"/>
      <c r="DF68" s="171" t="s">
        <v>275</v>
      </c>
      <c r="DG68" s="171" t="s">
        <v>445</v>
      </c>
    </row>
    <row r="69" spans="2:111" x14ac:dyDescent="0.35">
      <c r="B69" s="171" t="str">
        <f t="shared" ref="B69:B95" si="1">E69&amp;F69</f>
        <v>Markit iBoxx Global Corporates Liquid 150 Capped45626</v>
      </c>
      <c r="C69">
        <v>1063</v>
      </c>
      <c r="D69" t="s">
        <v>480</v>
      </c>
      <c r="E69" t="s">
        <v>275</v>
      </c>
      <c r="F69" s="26">
        <v>45626</v>
      </c>
      <c r="G69">
        <v>145</v>
      </c>
      <c r="H69">
        <v>0</v>
      </c>
      <c r="I69">
        <v>145</v>
      </c>
      <c r="J69" s="27">
        <v>0</v>
      </c>
      <c r="K69" s="27">
        <v>1</v>
      </c>
      <c r="L69" t="s">
        <v>444</v>
      </c>
      <c r="M69" s="32">
        <v>20.53490832</v>
      </c>
      <c r="N69" s="27">
        <v>0.95011887500000003</v>
      </c>
      <c r="O69" s="133">
        <v>138</v>
      </c>
      <c r="P69" s="32">
        <v>3.1690989850000002</v>
      </c>
      <c r="Q69">
        <v>0.95011887500000003</v>
      </c>
      <c r="R69">
        <v>138</v>
      </c>
      <c r="S69">
        <v>9.8251677849999997</v>
      </c>
      <c r="T69">
        <v>0.95011887500000003</v>
      </c>
      <c r="U69">
        <v>138</v>
      </c>
      <c r="V69">
        <v>7.5406415490000001</v>
      </c>
      <c r="W69">
        <v>0.95011887500000003</v>
      </c>
      <c r="X69">
        <v>138</v>
      </c>
      <c r="Y69">
        <v>0</v>
      </c>
      <c r="Z69"/>
      <c r="AA69"/>
      <c r="AB69">
        <v>0</v>
      </c>
      <c r="AC69"/>
      <c r="AD69"/>
      <c r="AE69">
        <v>0.3</v>
      </c>
      <c r="AF69">
        <v>7.0913520000000004E-3</v>
      </c>
      <c r="AG69">
        <v>1</v>
      </c>
      <c r="AH69">
        <v>0.13709323500000001</v>
      </c>
      <c r="AI69">
        <v>4.6987358999999999E-2</v>
      </c>
      <c r="AJ69">
        <v>6</v>
      </c>
      <c r="AK69">
        <v>0</v>
      </c>
      <c r="AL69"/>
      <c r="AM69"/>
      <c r="AN69">
        <v>0</v>
      </c>
      <c r="AO69"/>
      <c r="AP69"/>
      <c r="AQ69">
        <v>0</v>
      </c>
      <c r="AR69"/>
      <c r="AS69"/>
      <c r="AT69">
        <v>4.0442128000000001E-2</v>
      </c>
      <c r="AU69">
        <v>0.43468168000000001</v>
      </c>
      <c r="AV69">
        <v>0.41731522300000001</v>
      </c>
      <c r="AW69">
        <v>5.7679843000000001E-2</v>
      </c>
      <c r="AX69">
        <v>0</v>
      </c>
      <c r="AY69">
        <v>4.9881124999999998E-2</v>
      </c>
      <c r="AZ69"/>
      <c r="BA69"/>
      <c r="BB69"/>
      <c r="BC69"/>
      <c r="BD69"/>
      <c r="BE69"/>
      <c r="BF69"/>
      <c r="BG69"/>
      <c r="BH69"/>
      <c r="BI69"/>
      <c r="BJ69"/>
      <c r="BK69"/>
      <c r="BL69">
        <v>0.182813117</v>
      </c>
      <c r="BM69">
        <v>1</v>
      </c>
      <c r="BN69">
        <v>145</v>
      </c>
      <c r="BO69">
        <v>76.904712579999995</v>
      </c>
      <c r="BP69">
        <v>0.79863598000000002</v>
      </c>
      <c r="BQ69">
        <v>116</v>
      </c>
      <c r="BR69" s="28">
        <v>0</v>
      </c>
      <c r="BS69">
        <v>5.2014446999999998E-2</v>
      </c>
      <c r="BT69">
        <v>1</v>
      </c>
      <c r="BU69">
        <v>145</v>
      </c>
      <c r="BV69">
        <v>3.1357035999999998E-2</v>
      </c>
      <c r="BW69">
        <v>3.1357035999999998E-2</v>
      </c>
      <c r="BX69">
        <v>5</v>
      </c>
      <c r="BY69">
        <v>0</v>
      </c>
      <c r="BZ69">
        <v>0.99999999999999301</v>
      </c>
      <c r="CA69">
        <v>145</v>
      </c>
      <c r="CB69">
        <v>0</v>
      </c>
      <c r="CC69">
        <v>0.99999999999999301</v>
      </c>
      <c r="CD69">
        <v>145</v>
      </c>
      <c r="CE69">
        <v>0</v>
      </c>
      <c r="CF69">
        <v>0.95011887500896297</v>
      </c>
      <c r="CG69">
        <v>138</v>
      </c>
      <c r="CH69">
        <v>0</v>
      </c>
      <c r="CI69">
        <v>1</v>
      </c>
      <c r="CJ69">
        <v>145</v>
      </c>
      <c r="CK69">
        <v>0</v>
      </c>
      <c r="CL69"/>
      <c r="CM69"/>
      <c r="CN69">
        <v>0.18998314699999999</v>
      </c>
      <c r="CO69">
        <v>0.95011887500000003</v>
      </c>
      <c r="CP69">
        <v>138</v>
      </c>
      <c r="CQ69">
        <v>1</v>
      </c>
      <c r="CR69">
        <v>0.95011887500000003</v>
      </c>
      <c r="CS69">
        <v>138</v>
      </c>
      <c r="CT69">
        <v>205161.3</v>
      </c>
      <c r="CU69">
        <v>0.95011887500000003</v>
      </c>
      <c r="CV69">
        <v>138</v>
      </c>
      <c r="CW69">
        <v>0.50687676000000004</v>
      </c>
      <c r="CX69">
        <v>0.77720544300000005</v>
      </c>
      <c r="CY69">
        <v>112</v>
      </c>
      <c r="CZ69">
        <v>7957.6</v>
      </c>
      <c r="DA69">
        <v>0.79863598000000002</v>
      </c>
      <c r="DB69">
        <v>116</v>
      </c>
      <c r="DC69">
        <v>0</v>
      </c>
      <c r="DD69"/>
      <c r="DE69"/>
      <c r="DF69" s="171" t="s">
        <v>275</v>
      </c>
      <c r="DG69" s="171" t="s">
        <v>445</v>
      </c>
    </row>
    <row r="70" spans="2:111" x14ac:dyDescent="0.35">
      <c r="B70" s="171" t="str">
        <f t="shared" si="1"/>
        <v>iBoxx USD Contingent Convertible Liquid Developed Market AT1 (8% Issuer Cap)45596</v>
      </c>
      <c r="C70">
        <v>1064</v>
      </c>
      <c r="D70" t="s">
        <v>481</v>
      </c>
      <c r="E70" t="s">
        <v>261</v>
      </c>
      <c r="F70" s="26">
        <v>45596</v>
      </c>
      <c r="G70">
        <v>85</v>
      </c>
      <c r="H70">
        <v>0</v>
      </c>
      <c r="I70">
        <v>85</v>
      </c>
      <c r="J70" s="27">
        <v>0</v>
      </c>
      <c r="K70" s="27">
        <v>1</v>
      </c>
      <c r="L70" t="s">
        <v>444</v>
      </c>
      <c r="M70" s="32">
        <v>20.927112829999999</v>
      </c>
      <c r="N70" s="27">
        <v>1</v>
      </c>
      <c r="O70" s="133">
        <v>85</v>
      </c>
      <c r="P70" s="32">
        <v>1.14411829</v>
      </c>
      <c r="Q70">
        <v>1</v>
      </c>
      <c r="R70">
        <v>85</v>
      </c>
      <c r="S70">
        <v>11.188803740000001</v>
      </c>
      <c r="T70">
        <v>1</v>
      </c>
      <c r="U70">
        <v>85</v>
      </c>
      <c r="V70">
        <v>8.5941908090000005</v>
      </c>
      <c r="W70">
        <v>1</v>
      </c>
      <c r="X70">
        <v>85</v>
      </c>
      <c r="Y70">
        <v>0</v>
      </c>
      <c r="Z70"/>
      <c r="AA70"/>
      <c r="AB70">
        <v>0</v>
      </c>
      <c r="AC70"/>
      <c r="AD70"/>
      <c r="AE70">
        <v>0.3241607963</v>
      </c>
      <c r="AF70">
        <v>0.12875957800000001</v>
      </c>
      <c r="AG70">
        <v>7</v>
      </c>
      <c r="AH70" s="234" t="s">
        <v>460</v>
      </c>
      <c r="AI70">
        <v>0</v>
      </c>
      <c r="AJ70">
        <v>0</v>
      </c>
      <c r="AK70">
        <v>0</v>
      </c>
      <c r="AL70"/>
      <c r="AM70"/>
      <c r="AN70">
        <v>0</v>
      </c>
      <c r="AO70"/>
      <c r="AP70"/>
      <c r="AQ70">
        <v>0</v>
      </c>
      <c r="AR70"/>
      <c r="AS70"/>
      <c r="AT70">
        <v>0</v>
      </c>
      <c r="AU70">
        <v>0.324008725</v>
      </c>
      <c r="AV70">
        <v>0.675991275</v>
      </c>
      <c r="AW70">
        <v>0</v>
      </c>
      <c r="AX70">
        <v>0</v>
      </c>
      <c r="AY70">
        <v>0</v>
      </c>
      <c r="AZ70"/>
      <c r="BA70"/>
      <c r="BB70"/>
      <c r="BC70"/>
      <c r="BD70"/>
      <c r="BE70"/>
      <c r="BF70"/>
      <c r="BG70"/>
      <c r="BH70"/>
      <c r="BI70"/>
      <c r="BJ70"/>
      <c r="BK70"/>
      <c r="BL70">
        <v>0</v>
      </c>
      <c r="BM70">
        <v>1</v>
      </c>
      <c r="BN70">
        <v>85</v>
      </c>
      <c r="BO70">
        <v>0.77056703800000004</v>
      </c>
      <c r="BP70">
        <v>1</v>
      </c>
      <c r="BQ70">
        <v>85</v>
      </c>
      <c r="BR70">
        <v>0.08</v>
      </c>
      <c r="BS70">
        <v>0</v>
      </c>
      <c r="BT70">
        <v>1</v>
      </c>
      <c r="BU70">
        <v>85</v>
      </c>
      <c r="BV70">
        <v>0</v>
      </c>
      <c r="BW70" s="234" t="s">
        <v>460</v>
      </c>
      <c r="BX70" s="234" t="s">
        <v>460</v>
      </c>
      <c r="BY70">
        <v>0</v>
      </c>
      <c r="BZ70">
        <v>0.999999999999998</v>
      </c>
      <c r="CA70">
        <v>85</v>
      </c>
      <c r="CB70">
        <v>0</v>
      </c>
      <c r="CC70">
        <v>0.999999999999998</v>
      </c>
      <c r="CD70">
        <v>85</v>
      </c>
      <c r="CE70">
        <v>0</v>
      </c>
      <c r="CF70">
        <v>0.999999999999998</v>
      </c>
      <c r="CG70">
        <v>85</v>
      </c>
      <c r="CH70">
        <v>0</v>
      </c>
      <c r="CI70">
        <v>1</v>
      </c>
      <c r="CJ70">
        <v>85</v>
      </c>
      <c r="CK70">
        <v>0</v>
      </c>
      <c r="CL70"/>
      <c r="CM70"/>
      <c r="CN70">
        <v>6.5822689000000004E-2</v>
      </c>
      <c r="CO70">
        <v>1</v>
      </c>
      <c r="CP70">
        <v>85</v>
      </c>
      <c r="CQ70">
        <v>0</v>
      </c>
      <c r="CR70">
        <v>1</v>
      </c>
      <c r="CS70">
        <v>85</v>
      </c>
      <c r="CT70">
        <v>0</v>
      </c>
      <c r="CU70">
        <v>1</v>
      </c>
      <c r="CV70">
        <v>85</v>
      </c>
      <c r="CW70">
        <v>0.77004451100000004</v>
      </c>
      <c r="CX70">
        <v>1</v>
      </c>
      <c r="CY70">
        <v>85</v>
      </c>
      <c r="CZ70">
        <v>5839</v>
      </c>
      <c r="DA70">
        <v>1</v>
      </c>
      <c r="DB70">
        <v>85</v>
      </c>
      <c r="DC70">
        <v>0</v>
      </c>
      <c r="DD70"/>
      <c r="DE70"/>
      <c r="DF70" s="171" t="s">
        <v>262</v>
      </c>
      <c r="DG70" s="171" t="s">
        <v>445</v>
      </c>
    </row>
    <row r="71" spans="2:111" x14ac:dyDescent="0.35">
      <c r="B71" s="171" t="str">
        <f t="shared" si="1"/>
        <v>iBoxx USD Contingent Convertible Liquid Developed Market AT1 (8% Issuer Cap)45626</v>
      </c>
      <c r="C71">
        <v>1065</v>
      </c>
      <c r="D71" t="s">
        <v>481</v>
      </c>
      <c r="E71" t="s">
        <v>261</v>
      </c>
      <c r="F71" s="26">
        <v>45626</v>
      </c>
      <c r="G71">
        <v>86</v>
      </c>
      <c r="H71">
        <v>0</v>
      </c>
      <c r="I71">
        <v>86</v>
      </c>
      <c r="J71" s="27">
        <v>0</v>
      </c>
      <c r="K71" s="27">
        <v>1</v>
      </c>
      <c r="L71" t="s">
        <v>444</v>
      </c>
      <c r="M71" s="32">
        <v>20.979110609999999</v>
      </c>
      <c r="N71" s="27">
        <v>1</v>
      </c>
      <c r="O71" s="133">
        <v>86</v>
      </c>
      <c r="P71" s="32">
        <v>1.1521883500000001</v>
      </c>
      <c r="Q71">
        <v>1</v>
      </c>
      <c r="R71">
        <v>86</v>
      </c>
      <c r="S71">
        <v>11.201077509999999</v>
      </c>
      <c r="T71">
        <v>1</v>
      </c>
      <c r="U71">
        <v>86</v>
      </c>
      <c r="V71">
        <v>8.6258447530000009</v>
      </c>
      <c r="W71">
        <v>1</v>
      </c>
      <c r="X71">
        <v>86</v>
      </c>
      <c r="Y71">
        <v>0</v>
      </c>
      <c r="Z71"/>
      <c r="AA71"/>
      <c r="AB71">
        <v>0</v>
      </c>
      <c r="AC71"/>
      <c r="AD71"/>
      <c r="AE71">
        <v>0.32398081959999997</v>
      </c>
      <c r="AF71">
        <v>0.129166271</v>
      </c>
      <c r="AG71">
        <v>7</v>
      </c>
      <c r="AH71" s="234" t="s">
        <v>460</v>
      </c>
      <c r="AI71">
        <v>0</v>
      </c>
      <c r="AJ71">
        <v>0</v>
      </c>
      <c r="AK71">
        <v>0</v>
      </c>
      <c r="AL71"/>
      <c r="AM71"/>
      <c r="AN71">
        <v>0</v>
      </c>
      <c r="AO71"/>
      <c r="AP71"/>
      <c r="AQ71">
        <v>0</v>
      </c>
      <c r="AR71"/>
      <c r="AS71"/>
      <c r="AT71">
        <v>0</v>
      </c>
      <c r="AU71">
        <v>0.39141277699999999</v>
      </c>
      <c r="AV71">
        <v>0.60858722300000001</v>
      </c>
      <c r="AW71">
        <v>0</v>
      </c>
      <c r="AX71">
        <v>0</v>
      </c>
      <c r="AY71">
        <v>0</v>
      </c>
      <c r="AZ71"/>
      <c r="BA71"/>
      <c r="BB71"/>
      <c r="BC71"/>
      <c r="BD71"/>
      <c r="BE71"/>
      <c r="BF71"/>
      <c r="BG71"/>
      <c r="BH71"/>
      <c r="BI71"/>
      <c r="BJ71"/>
      <c r="BK71"/>
      <c r="BL71">
        <v>0</v>
      </c>
      <c r="BM71">
        <v>1</v>
      </c>
      <c r="BN71">
        <v>86</v>
      </c>
      <c r="BO71">
        <v>0.79055961200000002</v>
      </c>
      <c r="BP71">
        <v>1</v>
      </c>
      <c r="BQ71">
        <v>86</v>
      </c>
      <c r="BR71">
        <v>0.08</v>
      </c>
      <c r="BS71">
        <v>0</v>
      </c>
      <c r="BT71">
        <v>1</v>
      </c>
      <c r="BU71">
        <v>86</v>
      </c>
      <c r="BV71">
        <v>0</v>
      </c>
      <c r="BW71" s="234" t="s">
        <v>460</v>
      </c>
      <c r="BX71" s="234" t="s">
        <v>460</v>
      </c>
      <c r="BY71">
        <v>0</v>
      </c>
      <c r="BZ71">
        <v>0.999999999999998</v>
      </c>
      <c r="CA71">
        <v>86</v>
      </c>
      <c r="CB71">
        <v>0</v>
      </c>
      <c r="CC71">
        <v>0.999999999999998</v>
      </c>
      <c r="CD71">
        <v>86</v>
      </c>
      <c r="CE71">
        <v>0</v>
      </c>
      <c r="CF71">
        <v>0.999999999999998</v>
      </c>
      <c r="CG71">
        <v>86</v>
      </c>
      <c r="CH71">
        <v>0</v>
      </c>
      <c r="CI71">
        <v>1</v>
      </c>
      <c r="CJ71">
        <v>86</v>
      </c>
      <c r="CK71">
        <v>0</v>
      </c>
      <c r="CL71"/>
      <c r="CM71"/>
      <c r="CN71">
        <v>6.6353585000000007E-2</v>
      </c>
      <c r="CO71">
        <v>1</v>
      </c>
      <c r="CP71">
        <v>86</v>
      </c>
      <c r="CQ71">
        <v>0</v>
      </c>
      <c r="CR71">
        <v>1</v>
      </c>
      <c r="CS71">
        <v>86</v>
      </c>
      <c r="CT71">
        <v>0</v>
      </c>
      <c r="CU71">
        <v>1</v>
      </c>
      <c r="CV71">
        <v>86</v>
      </c>
      <c r="CW71">
        <v>0.76040854999999996</v>
      </c>
      <c r="CX71">
        <v>1</v>
      </c>
      <c r="CY71">
        <v>86</v>
      </c>
      <c r="CZ71">
        <v>5912.3</v>
      </c>
      <c r="DA71">
        <v>1</v>
      </c>
      <c r="DB71">
        <v>86</v>
      </c>
      <c r="DC71">
        <v>0</v>
      </c>
      <c r="DD71"/>
      <c r="DE71"/>
      <c r="DF71" s="171" t="s">
        <v>262</v>
      </c>
      <c r="DG71" s="171" t="s">
        <v>445</v>
      </c>
    </row>
    <row r="72" spans="2:111" x14ac:dyDescent="0.35">
      <c r="B72" s="171" t="str">
        <f t="shared" si="1"/>
        <v>iBoxx Global Green, Social &amp; Sustainability Bonds45596</v>
      </c>
      <c r="C72">
        <v>1067</v>
      </c>
      <c r="D72" t="s">
        <v>482</v>
      </c>
      <c r="E72" t="s">
        <v>196</v>
      </c>
      <c r="F72" s="26">
        <v>45596</v>
      </c>
      <c r="G72">
        <v>2811</v>
      </c>
      <c r="H72">
        <v>122</v>
      </c>
      <c r="I72">
        <v>2689</v>
      </c>
      <c r="J72" s="27">
        <v>0.138272437</v>
      </c>
      <c r="K72" s="27">
        <v>0.86172756299999997</v>
      </c>
      <c r="L72" t="s">
        <v>451</v>
      </c>
      <c r="M72" s="32">
        <v>27.972303709999998</v>
      </c>
      <c r="N72" s="27">
        <v>0.72905885599999998</v>
      </c>
      <c r="O72" s="133">
        <v>2171</v>
      </c>
      <c r="P72" s="32">
        <v>18.874108769999999</v>
      </c>
      <c r="Q72">
        <v>0.69225669700000003</v>
      </c>
      <c r="R72">
        <v>1996</v>
      </c>
      <c r="S72">
        <v>21.897921369999999</v>
      </c>
      <c r="T72">
        <v>0.69225669700000003</v>
      </c>
      <c r="U72">
        <v>1996</v>
      </c>
      <c r="V72">
        <v>21.669247110000001</v>
      </c>
      <c r="W72">
        <v>0.69225669700000003</v>
      </c>
      <c r="X72">
        <v>1996</v>
      </c>
      <c r="Y72">
        <v>60.437871889999997</v>
      </c>
      <c r="Z72">
        <v>0.173812194</v>
      </c>
      <c r="AA72">
        <v>133</v>
      </c>
      <c r="AB72">
        <v>68.600563480000005</v>
      </c>
      <c r="AC72">
        <v>0.18349589999999999</v>
      </c>
      <c r="AD72">
        <v>163</v>
      </c>
      <c r="AE72">
        <v>0.20922130310000001</v>
      </c>
      <c r="AF72">
        <v>1.4741664E-2</v>
      </c>
      <c r="AG72">
        <v>71</v>
      </c>
      <c r="AH72">
        <v>0.76604555100000005</v>
      </c>
      <c r="AI72">
        <v>4.9176298E-2</v>
      </c>
      <c r="AJ72">
        <v>213</v>
      </c>
      <c r="AK72">
        <v>59.924442999999997</v>
      </c>
      <c r="AL72">
        <v>0.18349589999999999</v>
      </c>
      <c r="AM72">
        <v>163</v>
      </c>
      <c r="AN72">
        <v>69.276377670000002</v>
      </c>
      <c r="AO72">
        <v>0.18349589999999999</v>
      </c>
      <c r="AP72">
        <v>163</v>
      </c>
      <c r="AQ72">
        <v>252.73978000000002</v>
      </c>
      <c r="AR72">
        <v>0.18349589999999999</v>
      </c>
      <c r="AS72">
        <v>163</v>
      </c>
      <c r="AT72">
        <v>0.140696443</v>
      </c>
      <c r="AU72">
        <v>0.42943854999999997</v>
      </c>
      <c r="AV72">
        <v>0.16101668299999999</v>
      </c>
      <c r="AW72">
        <v>2.5145992999999998E-2</v>
      </c>
      <c r="AX72">
        <v>3.994343E-3</v>
      </c>
      <c r="AY72">
        <v>0.23970798900000001</v>
      </c>
      <c r="AZ72">
        <v>0</v>
      </c>
      <c r="BA72">
        <v>0.18349589999999999</v>
      </c>
      <c r="BB72">
        <v>163</v>
      </c>
      <c r="BC72">
        <v>0</v>
      </c>
      <c r="BD72">
        <v>0.18349589999999999</v>
      </c>
      <c r="BE72">
        <v>163</v>
      </c>
      <c r="BF72">
        <v>0</v>
      </c>
      <c r="BG72">
        <v>0.18349589999999999</v>
      </c>
      <c r="BH72">
        <v>163</v>
      </c>
      <c r="BI72">
        <v>0</v>
      </c>
      <c r="BJ72">
        <v>0.18349589999999999</v>
      </c>
      <c r="BK72">
        <v>163</v>
      </c>
      <c r="BL72">
        <v>0.21402300399999999</v>
      </c>
      <c r="BM72">
        <v>0.86172756299999997</v>
      </c>
      <c r="BN72">
        <v>2689</v>
      </c>
      <c r="BO72">
        <v>175.91756720000001</v>
      </c>
      <c r="BP72">
        <v>0.281497795</v>
      </c>
      <c r="BQ72">
        <v>1239</v>
      </c>
      <c r="BR72">
        <v>1.9323555999999999E-2</v>
      </c>
      <c r="BS72">
        <v>6.6875809999999997E-3</v>
      </c>
      <c r="BT72">
        <v>0.86172756299999997</v>
      </c>
      <c r="BU72">
        <v>2689</v>
      </c>
      <c r="BV72">
        <v>0.64846018999999999</v>
      </c>
      <c r="BW72">
        <v>0.64846018999999999</v>
      </c>
      <c r="BX72">
        <v>1926</v>
      </c>
      <c r="BY72">
        <v>1.4189162642930001E-4</v>
      </c>
      <c r="BZ72">
        <v>0.99999999999986</v>
      </c>
      <c r="CA72">
        <v>2811</v>
      </c>
      <c r="CB72">
        <v>2.6333311294789998E-4</v>
      </c>
      <c r="CC72">
        <v>0.99999999999986</v>
      </c>
      <c r="CD72">
        <v>2811</v>
      </c>
      <c r="CE72">
        <v>0</v>
      </c>
      <c r="CF72">
        <v>0.54782399137353999</v>
      </c>
      <c r="CG72">
        <v>2020</v>
      </c>
      <c r="CH72">
        <v>0</v>
      </c>
      <c r="CI72">
        <v>1</v>
      </c>
      <c r="CJ72">
        <v>2811</v>
      </c>
      <c r="CK72">
        <v>59.870245279999999</v>
      </c>
      <c r="CL72">
        <v>0.16727703899999999</v>
      </c>
      <c r="CM72">
        <v>160</v>
      </c>
      <c r="CN72">
        <v>0.21321632099999999</v>
      </c>
      <c r="CO72">
        <v>0.546282987</v>
      </c>
      <c r="CP72">
        <v>2012</v>
      </c>
      <c r="CQ72">
        <v>17</v>
      </c>
      <c r="CR72">
        <v>0.54782399100000001</v>
      </c>
      <c r="CS72">
        <v>2020</v>
      </c>
      <c r="CT72">
        <v>288475516.69999999</v>
      </c>
      <c r="CU72">
        <v>0.54782399100000001</v>
      </c>
      <c r="CV72">
        <v>2020</v>
      </c>
      <c r="CW72">
        <v>0.18398334899999999</v>
      </c>
      <c r="CX72">
        <v>0.28495350000000003</v>
      </c>
      <c r="CY72">
        <v>1249</v>
      </c>
      <c r="CZ72">
        <v>78144.2</v>
      </c>
      <c r="DA72">
        <v>0.285864489</v>
      </c>
      <c r="DB72">
        <v>1244</v>
      </c>
      <c r="DC72">
        <v>70.308263940000003</v>
      </c>
      <c r="DD72">
        <v>0.18349589999999999</v>
      </c>
      <c r="DE72">
        <v>163</v>
      </c>
      <c r="DF72" s="171" t="s">
        <v>197</v>
      </c>
      <c r="DG72" s="171" t="s">
        <v>445</v>
      </c>
    </row>
    <row r="73" spans="2:111" x14ac:dyDescent="0.35">
      <c r="B73" s="171" t="str">
        <f t="shared" si="1"/>
        <v>iBoxx Global Green, Social &amp; Sustainability Bonds45626</v>
      </c>
      <c r="C73">
        <v>1084</v>
      </c>
      <c r="D73" t="s">
        <v>482</v>
      </c>
      <c r="E73" t="s">
        <v>196</v>
      </c>
      <c r="F73" s="26">
        <v>45626</v>
      </c>
      <c r="G73">
        <v>2840</v>
      </c>
      <c r="H73">
        <v>123</v>
      </c>
      <c r="I73">
        <v>2717</v>
      </c>
      <c r="J73" s="27">
        <v>0.13934381800000001</v>
      </c>
      <c r="K73" s="27">
        <v>0.86065618200000005</v>
      </c>
      <c r="L73" t="s">
        <v>451</v>
      </c>
      <c r="M73" s="32">
        <v>28.063868119999999</v>
      </c>
      <c r="N73" s="27">
        <v>0.72483112199999999</v>
      </c>
      <c r="O73" s="133">
        <v>2185</v>
      </c>
      <c r="P73" s="32">
        <v>18.9804177</v>
      </c>
      <c r="Q73">
        <v>0.68859397300000003</v>
      </c>
      <c r="R73">
        <v>2011</v>
      </c>
      <c r="S73">
        <v>22.00357825</v>
      </c>
      <c r="T73">
        <v>0.68859397300000003</v>
      </c>
      <c r="U73">
        <v>2011</v>
      </c>
      <c r="V73">
        <v>21.79005226</v>
      </c>
      <c r="W73">
        <v>0.68859397300000003</v>
      </c>
      <c r="X73">
        <v>2011</v>
      </c>
      <c r="Y73">
        <v>60.39459445</v>
      </c>
      <c r="Z73">
        <v>0.17446251300000001</v>
      </c>
      <c r="AA73">
        <v>135</v>
      </c>
      <c r="AB73">
        <v>68.604454720000007</v>
      </c>
      <c r="AC73">
        <v>0.18385532800000001</v>
      </c>
      <c r="AD73">
        <v>164</v>
      </c>
      <c r="AE73">
        <v>0.21141424040000001</v>
      </c>
      <c r="AF73">
        <v>1.4753652000000001E-2</v>
      </c>
      <c r="AG73">
        <v>73</v>
      </c>
      <c r="AH73">
        <v>0.76364494699999996</v>
      </c>
      <c r="AI73">
        <v>4.8654537999999997E-2</v>
      </c>
      <c r="AJ73">
        <v>215</v>
      </c>
      <c r="AK73">
        <v>59.914790930000002</v>
      </c>
      <c r="AL73">
        <v>0.18385532800000001</v>
      </c>
      <c r="AM73">
        <v>164</v>
      </c>
      <c r="AN73">
        <v>69.261153989999997</v>
      </c>
      <c r="AO73">
        <v>0.18385532800000001</v>
      </c>
      <c r="AP73">
        <v>164</v>
      </c>
      <c r="AQ73">
        <v>252.63409599999997</v>
      </c>
      <c r="AR73">
        <v>0.18385532800000001</v>
      </c>
      <c r="AS73">
        <v>164</v>
      </c>
      <c r="AT73">
        <v>0.130742106</v>
      </c>
      <c r="AU73">
        <v>0.44026328399999998</v>
      </c>
      <c r="AV73">
        <v>0.157045671</v>
      </c>
      <c r="AW73">
        <v>2.5324950999999998E-2</v>
      </c>
      <c r="AX73">
        <v>4.3340000000000002E-3</v>
      </c>
      <c r="AY73">
        <v>0.24228998700000001</v>
      </c>
      <c r="AZ73">
        <v>0</v>
      </c>
      <c r="BA73">
        <v>0.18385532800000001</v>
      </c>
      <c r="BB73">
        <v>164</v>
      </c>
      <c r="BC73">
        <v>0</v>
      </c>
      <c r="BD73">
        <v>0.18385532800000001</v>
      </c>
      <c r="BE73">
        <v>164</v>
      </c>
      <c r="BF73">
        <v>0</v>
      </c>
      <c r="BG73">
        <v>0.18385532800000001</v>
      </c>
      <c r="BH73">
        <v>164</v>
      </c>
      <c r="BI73">
        <v>0</v>
      </c>
      <c r="BJ73">
        <v>0.18385532800000001</v>
      </c>
      <c r="BK73">
        <v>164</v>
      </c>
      <c r="BL73">
        <v>0.21278520400000001</v>
      </c>
      <c r="BM73">
        <v>0.86065618200000005</v>
      </c>
      <c r="BN73">
        <v>2717</v>
      </c>
      <c r="BO73">
        <v>177.05514640000001</v>
      </c>
      <c r="BP73">
        <v>0.27779558900000001</v>
      </c>
      <c r="BQ73">
        <v>1242</v>
      </c>
      <c r="BR73">
        <v>1.9388487999999999E-2</v>
      </c>
      <c r="BS73">
        <v>6.6057759999999998E-3</v>
      </c>
      <c r="BT73">
        <v>0.86065618200000005</v>
      </c>
      <c r="BU73">
        <v>2717</v>
      </c>
      <c r="BV73">
        <v>0.65164454100000002</v>
      </c>
      <c r="BW73">
        <v>0.65164454100000002</v>
      </c>
      <c r="BX73">
        <v>1950</v>
      </c>
      <c r="BY73">
        <v>1.4211504822369999E-4</v>
      </c>
      <c r="BZ73">
        <v>0.999999999999863</v>
      </c>
      <c r="CA73">
        <v>2840</v>
      </c>
      <c r="CB73">
        <v>2.6438507659189999E-4</v>
      </c>
      <c r="CC73">
        <v>0.999999999999863</v>
      </c>
      <c r="CD73">
        <v>2840</v>
      </c>
      <c r="CE73">
        <v>0</v>
      </c>
      <c r="CF73">
        <v>0.54290774605963699</v>
      </c>
      <c r="CG73">
        <v>2031</v>
      </c>
      <c r="CH73">
        <v>0</v>
      </c>
      <c r="CI73">
        <v>1</v>
      </c>
      <c r="CJ73">
        <v>2840</v>
      </c>
      <c r="CK73">
        <v>59.878458459999997</v>
      </c>
      <c r="CL73">
        <v>0.167094834</v>
      </c>
      <c r="CM73">
        <v>161</v>
      </c>
      <c r="CN73">
        <v>0.21252557599999999</v>
      </c>
      <c r="CO73">
        <v>0.54168273099999997</v>
      </c>
      <c r="CP73">
        <v>2025</v>
      </c>
      <c r="CQ73">
        <v>17</v>
      </c>
      <c r="CR73">
        <v>0.54290774600000002</v>
      </c>
      <c r="CS73">
        <v>2031</v>
      </c>
      <c r="CT73">
        <v>288475516.69999999</v>
      </c>
      <c r="CU73">
        <v>0.54290774600000002</v>
      </c>
      <c r="CV73">
        <v>2031</v>
      </c>
      <c r="CW73">
        <v>0.18127690799999999</v>
      </c>
      <c r="CX73">
        <v>0.28118271</v>
      </c>
      <c r="CY73">
        <v>1252</v>
      </c>
      <c r="CZ73">
        <v>78284.3</v>
      </c>
      <c r="DA73">
        <v>0.28206797900000002</v>
      </c>
      <c r="DB73">
        <v>1247</v>
      </c>
      <c r="DC73">
        <v>70.291072830000005</v>
      </c>
      <c r="DD73">
        <v>0.18385532800000001</v>
      </c>
      <c r="DE73">
        <v>164</v>
      </c>
      <c r="DF73" s="171" t="s">
        <v>197</v>
      </c>
      <c r="DG73" s="171" t="s">
        <v>445</v>
      </c>
    </row>
    <row r="74" spans="2:111" x14ac:dyDescent="0.35">
      <c r="B74" s="171" t="str">
        <f t="shared" si="1"/>
        <v>iBoxx Global Green Bonds Select45596</v>
      </c>
      <c r="C74">
        <v>1140</v>
      </c>
      <c r="D74" t="s">
        <v>483</v>
      </c>
      <c r="E74" t="s">
        <v>192</v>
      </c>
      <c r="F74" s="26">
        <v>45596</v>
      </c>
      <c r="G74">
        <v>1613</v>
      </c>
      <c r="H74">
        <v>68</v>
      </c>
      <c r="I74">
        <v>1545</v>
      </c>
      <c r="J74" s="27">
        <v>0.220251059</v>
      </c>
      <c r="K74" s="27">
        <v>0.77974894100000003</v>
      </c>
      <c r="L74" t="s">
        <v>451</v>
      </c>
      <c r="M74" s="32">
        <v>29.428958609999999</v>
      </c>
      <c r="N74" s="27">
        <v>0.84946629900000004</v>
      </c>
      <c r="O74" s="133">
        <v>1333</v>
      </c>
      <c r="P74" s="32">
        <v>20.027842969999998</v>
      </c>
      <c r="Q74">
        <v>0.80945352599999998</v>
      </c>
      <c r="R74">
        <v>1233</v>
      </c>
      <c r="S74">
        <v>23.456387299999999</v>
      </c>
      <c r="T74">
        <v>0.80945352599999998</v>
      </c>
      <c r="U74">
        <v>1233</v>
      </c>
      <c r="V74">
        <v>22.650463160000001</v>
      </c>
      <c r="W74">
        <v>0.80945352599999998</v>
      </c>
      <c r="X74">
        <v>1233</v>
      </c>
      <c r="Y74">
        <v>62.303573180000001</v>
      </c>
      <c r="Z74">
        <v>0.210983056</v>
      </c>
      <c r="AA74">
        <v>50</v>
      </c>
      <c r="AB74">
        <v>69.590741809999997</v>
      </c>
      <c r="AC74">
        <v>0.22641736800000001</v>
      </c>
      <c r="AD74">
        <v>75</v>
      </c>
      <c r="AE74">
        <v>0.23029087100000001</v>
      </c>
      <c r="AF74">
        <v>1.6448668E-2</v>
      </c>
      <c r="AG74">
        <v>41</v>
      </c>
      <c r="AH74">
        <v>0.78454986500000001</v>
      </c>
      <c r="AI74">
        <v>8.0209216999999999E-2</v>
      </c>
      <c r="AJ74">
        <v>174</v>
      </c>
      <c r="AK74">
        <v>61.415041199999997</v>
      </c>
      <c r="AL74">
        <v>0.22641736800000001</v>
      </c>
      <c r="AM74">
        <v>75</v>
      </c>
      <c r="AN74">
        <v>70.843085270000003</v>
      </c>
      <c r="AO74">
        <v>0.22641736800000001</v>
      </c>
      <c r="AP74">
        <v>75</v>
      </c>
      <c r="AQ74">
        <v>225.410402</v>
      </c>
      <c r="AR74">
        <v>0.22641736800000001</v>
      </c>
      <c r="AS74">
        <v>75</v>
      </c>
      <c r="AT74">
        <v>0.16598401900000001</v>
      </c>
      <c r="AU74">
        <v>0.51553504400000005</v>
      </c>
      <c r="AV74">
        <v>0.17888104699999999</v>
      </c>
      <c r="AW74">
        <v>3.1503702000000001E-2</v>
      </c>
      <c r="AX74">
        <v>4.4206080000000003E-3</v>
      </c>
      <c r="AY74">
        <v>0.10367558</v>
      </c>
      <c r="AZ74">
        <v>0</v>
      </c>
      <c r="BA74">
        <v>0.22641736800000001</v>
      </c>
      <c r="BB74">
        <v>75</v>
      </c>
      <c r="BC74">
        <v>0</v>
      </c>
      <c r="BD74">
        <v>0.22641736800000001</v>
      </c>
      <c r="BE74">
        <v>75</v>
      </c>
      <c r="BF74">
        <v>0</v>
      </c>
      <c r="BG74">
        <v>0.22641736800000001</v>
      </c>
      <c r="BH74">
        <v>75</v>
      </c>
      <c r="BI74">
        <v>0</v>
      </c>
      <c r="BJ74">
        <v>0.22641736800000001</v>
      </c>
      <c r="BK74">
        <v>75</v>
      </c>
      <c r="BL74">
        <v>0.30821981599999998</v>
      </c>
      <c r="BM74">
        <v>0.77974894100000003</v>
      </c>
      <c r="BN74">
        <v>1545</v>
      </c>
      <c r="BO74">
        <v>190.6617857</v>
      </c>
      <c r="BP74">
        <v>0.36701735899999999</v>
      </c>
      <c r="BQ74">
        <v>818</v>
      </c>
      <c r="BR74">
        <v>2.8239564000000002E-2</v>
      </c>
      <c r="BS74">
        <v>5.646552E-3</v>
      </c>
      <c r="BT74">
        <v>0.77974894100000003</v>
      </c>
      <c r="BU74">
        <v>1545</v>
      </c>
      <c r="BV74">
        <v>0.99779150400000005</v>
      </c>
      <c r="BW74">
        <v>0.99779150400000005</v>
      </c>
      <c r="BX74">
        <v>1611</v>
      </c>
      <c r="BY74">
        <v>2.7163488216219999E-4</v>
      </c>
      <c r="BZ74">
        <v>0.99999999999991895</v>
      </c>
      <c r="CA74">
        <v>1613</v>
      </c>
      <c r="CB74">
        <v>0</v>
      </c>
      <c r="CC74">
        <v>0.99999999999991895</v>
      </c>
      <c r="CD74">
        <v>1613</v>
      </c>
      <c r="CE74">
        <v>0</v>
      </c>
      <c r="CF74">
        <v>0.62614897688959104</v>
      </c>
      <c r="CG74">
        <v>1267</v>
      </c>
      <c r="CH74">
        <v>0</v>
      </c>
      <c r="CI74">
        <v>1</v>
      </c>
      <c r="CJ74">
        <v>1613</v>
      </c>
      <c r="CK74">
        <v>58.71490052</v>
      </c>
      <c r="CL74">
        <v>0.19609611699999999</v>
      </c>
      <c r="CM74">
        <v>73</v>
      </c>
      <c r="CN74">
        <v>0.14628266000000001</v>
      </c>
      <c r="CO74">
        <v>0.62442734700000002</v>
      </c>
      <c r="CP74">
        <v>1262</v>
      </c>
      <c r="CQ74">
        <v>10</v>
      </c>
      <c r="CR74">
        <v>0.62614897700000005</v>
      </c>
      <c r="CS74">
        <v>1267</v>
      </c>
      <c r="CT74">
        <v>190787913.80000001</v>
      </c>
      <c r="CU74">
        <v>0.62614897700000005</v>
      </c>
      <c r="CV74">
        <v>1267</v>
      </c>
      <c r="CW74">
        <v>0.24989391599999999</v>
      </c>
      <c r="CX74">
        <v>0.37342597599999999</v>
      </c>
      <c r="CY74">
        <v>828</v>
      </c>
      <c r="CZ74">
        <v>51240</v>
      </c>
      <c r="DA74">
        <v>0.37369145399999998</v>
      </c>
      <c r="DB74">
        <v>823</v>
      </c>
      <c r="DC74">
        <v>72.320469110000005</v>
      </c>
      <c r="DD74">
        <v>0.22641736800000001</v>
      </c>
      <c r="DE74">
        <v>75</v>
      </c>
      <c r="DF74" s="171" t="s">
        <v>193</v>
      </c>
      <c r="DG74" s="171" t="s">
        <v>445</v>
      </c>
    </row>
    <row r="75" spans="2:111" x14ac:dyDescent="0.35">
      <c r="B75" s="171" t="str">
        <f t="shared" si="1"/>
        <v>iBoxx Global Green Bonds Select45626</v>
      </c>
      <c r="C75">
        <v>1141</v>
      </c>
      <c r="D75" t="s">
        <v>483</v>
      </c>
      <c r="E75" t="s">
        <v>192</v>
      </c>
      <c r="F75" s="26">
        <v>45626</v>
      </c>
      <c r="G75">
        <v>1630</v>
      </c>
      <c r="H75">
        <v>68</v>
      </c>
      <c r="I75">
        <v>1562</v>
      </c>
      <c r="J75" s="27">
        <v>0.22260358199999999</v>
      </c>
      <c r="K75" s="27">
        <v>0.77739641800000003</v>
      </c>
      <c r="L75" t="s">
        <v>451</v>
      </c>
      <c r="M75" s="32">
        <v>29.659564140000001</v>
      </c>
      <c r="N75" s="27">
        <v>0.84503517100000003</v>
      </c>
      <c r="O75" s="133">
        <v>1342</v>
      </c>
      <c r="P75" s="32">
        <v>20.308496269999999</v>
      </c>
      <c r="Q75">
        <v>0.80539644700000002</v>
      </c>
      <c r="R75">
        <v>1242</v>
      </c>
      <c r="S75">
        <v>23.717733800000001</v>
      </c>
      <c r="T75">
        <v>0.80539644700000002</v>
      </c>
      <c r="U75">
        <v>1242</v>
      </c>
      <c r="V75">
        <v>22.938236180000001</v>
      </c>
      <c r="W75">
        <v>0.80539644700000002</v>
      </c>
      <c r="X75">
        <v>1242</v>
      </c>
      <c r="Y75">
        <v>62.210523739999999</v>
      </c>
      <c r="Z75">
        <v>0.21342530600000001</v>
      </c>
      <c r="AA75">
        <v>50</v>
      </c>
      <c r="AB75">
        <v>69.62280011</v>
      </c>
      <c r="AC75">
        <v>0.228798901</v>
      </c>
      <c r="AD75">
        <v>75</v>
      </c>
      <c r="AE75">
        <v>0.23308051460000001</v>
      </c>
      <c r="AF75">
        <v>1.6360425000000001E-2</v>
      </c>
      <c r="AG75">
        <v>42</v>
      </c>
      <c r="AH75">
        <v>0.78489356899999996</v>
      </c>
      <c r="AI75">
        <v>7.9009359000000001E-2</v>
      </c>
      <c r="AJ75">
        <v>175</v>
      </c>
      <c r="AK75">
        <v>61.395595280000002</v>
      </c>
      <c r="AL75">
        <v>0.228798901</v>
      </c>
      <c r="AM75">
        <v>75</v>
      </c>
      <c r="AN75">
        <v>70.854912880000001</v>
      </c>
      <c r="AO75">
        <v>0.228798901</v>
      </c>
      <c r="AP75">
        <v>75</v>
      </c>
      <c r="AQ75">
        <v>224.61379500000001</v>
      </c>
      <c r="AR75">
        <v>0.228798901</v>
      </c>
      <c r="AS75">
        <v>75</v>
      </c>
      <c r="AT75">
        <v>0.162771482</v>
      </c>
      <c r="AU75">
        <v>0.51726866500000002</v>
      </c>
      <c r="AV75">
        <v>0.177205527</v>
      </c>
      <c r="AW75">
        <v>3.1379499999999998E-2</v>
      </c>
      <c r="AX75">
        <v>4.7257979999999998E-3</v>
      </c>
      <c r="AY75">
        <v>0.10664902800000001</v>
      </c>
      <c r="AZ75">
        <v>0</v>
      </c>
      <c r="BA75">
        <v>0.228798901</v>
      </c>
      <c r="BB75">
        <v>75</v>
      </c>
      <c r="BC75">
        <v>0</v>
      </c>
      <c r="BD75">
        <v>0.228798901</v>
      </c>
      <c r="BE75">
        <v>75</v>
      </c>
      <c r="BF75">
        <v>0</v>
      </c>
      <c r="BG75">
        <v>0.228798901</v>
      </c>
      <c r="BH75">
        <v>75</v>
      </c>
      <c r="BI75">
        <v>0</v>
      </c>
      <c r="BJ75">
        <v>0.228798901</v>
      </c>
      <c r="BK75">
        <v>75</v>
      </c>
      <c r="BL75">
        <v>0.305165574</v>
      </c>
      <c r="BM75">
        <v>0.77739641800000003</v>
      </c>
      <c r="BN75">
        <v>1562</v>
      </c>
      <c r="BO75">
        <v>192.8681593</v>
      </c>
      <c r="BP75">
        <v>0.36080815300000002</v>
      </c>
      <c r="BQ75">
        <v>818</v>
      </c>
      <c r="BR75">
        <v>2.8435854E-2</v>
      </c>
      <c r="BS75">
        <v>5.5521420000000004E-3</v>
      </c>
      <c r="BT75">
        <v>0.77739641800000003</v>
      </c>
      <c r="BU75">
        <v>1562</v>
      </c>
      <c r="BV75">
        <v>0.99778667200000004</v>
      </c>
      <c r="BW75">
        <v>0.99778667200000004</v>
      </c>
      <c r="BX75">
        <v>1628</v>
      </c>
      <c r="BY75">
        <v>2.7235927152150001E-4</v>
      </c>
      <c r="BZ75">
        <v>0.99999999999991795</v>
      </c>
      <c r="CA75">
        <v>1630</v>
      </c>
      <c r="CB75">
        <v>0</v>
      </c>
      <c r="CC75">
        <v>0.99999999999991795</v>
      </c>
      <c r="CD75">
        <v>1630</v>
      </c>
      <c r="CE75">
        <v>0</v>
      </c>
      <c r="CF75">
        <v>0.61873526469029805</v>
      </c>
      <c r="CG75">
        <v>1274</v>
      </c>
      <c r="CH75">
        <v>0</v>
      </c>
      <c r="CI75">
        <v>1</v>
      </c>
      <c r="CJ75">
        <v>1630</v>
      </c>
      <c r="CK75">
        <v>58.72137412</v>
      </c>
      <c r="CL75">
        <v>0.197407686</v>
      </c>
      <c r="CM75">
        <v>73</v>
      </c>
      <c r="CN75">
        <v>0.14561170200000001</v>
      </c>
      <c r="CO75">
        <v>0.61759109400000001</v>
      </c>
      <c r="CP75">
        <v>1271</v>
      </c>
      <c r="CQ75">
        <v>10</v>
      </c>
      <c r="CR75">
        <v>0.61873526499999998</v>
      </c>
      <c r="CS75">
        <v>1274</v>
      </c>
      <c r="CT75">
        <v>190787913.80000001</v>
      </c>
      <c r="CU75">
        <v>0.61873526499999998</v>
      </c>
      <c r="CV75">
        <v>1274</v>
      </c>
      <c r="CW75">
        <v>0.24538939900000001</v>
      </c>
      <c r="CX75">
        <v>0.36712523800000002</v>
      </c>
      <c r="CY75">
        <v>828</v>
      </c>
      <c r="CZ75">
        <v>51194.7</v>
      </c>
      <c r="DA75">
        <v>0.36736450500000001</v>
      </c>
      <c r="DB75">
        <v>823</v>
      </c>
      <c r="DC75">
        <v>72.316446839999998</v>
      </c>
      <c r="DD75">
        <v>0.228798901</v>
      </c>
      <c r="DE75">
        <v>75</v>
      </c>
      <c r="DF75" s="171" t="s">
        <v>193</v>
      </c>
      <c r="DG75" s="171" t="s">
        <v>445</v>
      </c>
    </row>
    <row r="76" spans="2:111" x14ac:dyDescent="0.35">
      <c r="B76" s="171" t="str">
        <f t="shared" si="1"/>
        <v>iBoxx Global Green Select, Social &amp; Sustainability Bonds45596</v>
      </c>
      <c r="C76">
        <v>1189</v>
      </c>
      <c r="D76" t="s">
        <v>484</v>
      </c>
      <c r="E76" t="s">
        <v>194</v>
      </c>
      <c r="F76" s="26">
        <v>45596</v>
      </c>
      <c r="G76">
        <v>2496</v>
      </c>
      <c r="H76">
        <v>117</v>
      </c>
      <c r="I76">
        <v>2379</v>
      </c>
      <c r="J76" s="27">
        <v>0.15398769100000001</v>
      </c>
      <c r="K76" s="27">
        <v>0.84601230900000002</v>
      </c>
      <c r="L76" t="s">
        <v>451</v>
      </c>
      <c r="M76" s="32">
        <v>28.55657072</v>
      </c>
      <c r="N76" s="27">
        <v>0.774558729</v>
      </c>
      <c r="O76" s="133">
        <v>1930</v>
      </c>
      <c r="P76" s="32">
        <v>19.700242159999998</v>
      </c>
      <c r="Q76">
        <v>0.73807381400000005</v>
      </c>
      <c r="R76">
        <v>1779</v>
      </c>
      <c r="S76">
        <v>22.67292093</v>
      </c>
      <c r="T76">
        <v>0.73807381400000005</v>
      </c>
      <c r="U76">
        <v>1779</v>
      </c>
      <c r="V76">
        <v>22.494888280000001</v>
      </c>
      <c r="W76">
        <v>0.73807381400000005</v>
      </c>
      <c r="X76">
        <v>1779</v>
      </c>
      <c r="Y76">
        <v>60.478523719999998</v>
      </c>
      <c r="Z76">
        <v>0.19571761100000001</v>
      </c>
      <c r="AA76">
        <v>130</v>
      </c>
      <c r="AB76">
        <v>68.681141269999998</v>
      </c>
      <c r="AC76">
        <v>0.205806287</v>
      </c>
      <c r="AD76">
        <v>158</v>
      </c>
      <c r="AE76">
        <v>0.20711481939999998</v>
      </c>
      <c r="AF76">
        <v>1.4142373999999999E-2</v>
      </c>
      <c r="AG76">
        <v>62</v>
      </c>
      <c r="AH76">
        <v>0.773903758</v>
      </c>
      <c r="AI76">
        <v>5.1921597E-2</v>
      </c>
      <c r="AJ76">
        <v>192</v>
      </c>
      <c r="AK76">
        <v>59.788178420000001</v>
      </c>
      <c r="AL76">
        <v>0.205806287</v>
      </c>
      <c r="AM76">
        <v>158</v>
      </c>
      <c r="AN76">
        <v>69.187657689999995</v>
      </c>
      <c r="AO76">
        <v>0.205806287</v>
      </c>
      <c r="AP76">
        <v>158</v>
      </c>
      <c r="AQ76">
        <v>246.75843499999999</v>
      </c>
      <c r="AR76">
        <v>0.205806287</v>
      </c>
      <c r="AS76">
        <v>158</v>
      </c>
      <c r="AT76">
        <v>0.15296188899999999</v>
      </c>
      <c r="AU76">
        <v>0.45599735000000002</v>
      </c>
      <c r="AV76">
        <v>0.16562719100000001</v>
      </c>
      <c r="AW76">
        <v>2.5826084999999999E-2</v>
      </c>
      <c r="AX76">
        <v>4.1807140000000003E-3</v>
      </c>
      <c r="AY76">
        <v>0.19540677000000001</v>
      </c>
      <c r="AZ76">
        <v>0</v>
      </c>
      <c r="BA76">
        <v>0.205806287</v>
      </c>
      <c r="BB76">
        <v>158</v>
      </c>
      <c r="BC76">
        <v>0</v>
      </c>
      <c r="BD76">
        <v>0.205806287</v>
      </c>
      <c r="BE76">
        <v>158</v>
      </c>
      <c r="BF76">
        <v>0</v>
      </c>
      <c r="BG76">
        <v>0.205806287</v>
      </c>
      <c r="BH76">
        <v>158</v>
      </c>
      <c r="BI76">
        <v>0</v>
      </c>
      <c r="BJ76">
        <v>0.205806287</v>
      </c>
      <c r="BK76">
        <v>158</v>
      </c>
      <c r="BL76">
        <v>0.21275886499999999</v>
      </c>
      <c r="BM76">
        <v>0.84601230900000002</v>
      </c>
      <c r="BN76">
        <v>2379</v>
      </c>
      <c r="BO76">
        <v>171.2345096</v>
      </c>
      <c r="BP76">
        <v>0.27859305400000001</v>
      </c>
      <c r="BQ76">
        <v>1051</v>
      </c>
      <c r="BR76">
        <v>2.0951586000000001E-2</v>
      </c>
      <c r="BS76">
        <v>3.5681939999999998E-3</v>
      </c>
      <c r="BT76">
        <v>0.84601230900000002</v>
      </c>
      <c r="BU76">
        <v>2379</v>
      </c>
      <c r="BV76">
        <v>0.597193627</v>
      </c>
      <c r="BW76">
        <v>0.597193627</v>
      </c>
      <c r="BX76">
        <v>1611</v>
      </c>
      <c r="BY76">
        <v>1.625842929978E-4</v>
      </c>
      <c r="BZ76">
        <v>0.99999999999987699</v>
      </c>
      <c r="CA76">
        <v>2496</v>
      </c>
      <c r="CB76">
        <v>0</v>
      </c>
      <c r="CC76">
        <v>0.99999999999987699</v>
      </c>
      <c r="CD76">
        <v>2496</v>
      </c>
      <c r="CE76">
        <v>0</v>
      </c>
      <c r="CF76">
        <v>0.57060794307945395</v>
      </c>
      <c r="CG76">
        <v>1781</v>
      </c>
      <c r="CH76">
        <v>0</v>
      </c>
      <c r="CI76">
        <v>1</v>
      </c>
      <c r="CJ76">
        <v>2496</v>
      </c>
      <c r="CK76">
        <v>59.952525729999998</v>
      </c>
      <c r="CL76">
        <v>0.187222159</v>
      </c>
      <c r="CM76">
        <v>155</v>
      </c>
      <c r="CN76">
        <v>0.229196285</v>
      </c>
      <c r="CO76">
        <v>0.569577479</v>
      </c>
      <c r="CP76">
        <v>1776</v>
      </c>
      <c r="CQ76">
        <v>16</v>
      </c>
      <c r="CR76">
        <v>0.57060794299999995</v>
      </c>
      <c r="CS76">
        <v>1781</v>
      </c>
      <c r="CT76">
        <v>288475516.69999999</v>
      </c>
      <c r="CU76">
        <v>0.57060794299999995</v>
      </c>
      <c r="CV76">
        <v>1781</v>
      </c>
      <c r="CW76">
        <v>0.18369765699999999</v>
      </c>
      <c r="CX76">
        <v>0.28315852899999999</v>
      </c>
      <c r="CY76">
        <v>1063</v>
      </c>
      <c r="CZ76">
        <v>66438.3</v>
      </c>
      <c r="DA76">
        <v>0.28331742799999998</v>
      </c>
      <c r="DB76">
        <v>1058</v>
      </c>
      <c r="DC76">
        <v>70.256361100000007</v>
      </c>
      <c r="DD76">
        <v>0.205806287</v>
      </c>
      <c r="DE76">
        <v>158</v>
      </c>
      <c r="DF76" s="171" t="s">
        <v>195</v>
      </c>
      <c r="DG76" s="171" t="s">
        <v>445</v>
      </c>
    </row>
    <row r="77" spans="2:111" x14ac:dyDescent="0.35">
      <c r="B77" s="171" t="str">
        <f t="shared" si="1"/>
        <v>iBoxx Global Green Select, Social &amp; Sustainability Bonds45626</v>
      </c>
      <c r="C77">
        <v>1192</v>
      </c>
      <c r="D77" t="s">
        <v>484</v>
      </c>
      <c r="E77" t="s">
        <v>194</v>
      </c>
      <c r="F77" s="26">
        <v>45626</v>
      </c>
      <c r="G77">
        <v>2518</v>
      </c>
      <c r="H77">
        <v>118</v>
      </c>
      <c r="I77">
        <v>2400</v>
      </c>
      <c r="J77" s="27">
        <v>0.15592557800000001</v>
      </c>
      <c r="K77" s="27">
        <v>0.84407442200000005</v>
      </c>
      <c r="L77" t="s">
        <v>451</v>
      </c>
      <c r="M77" s="32">
        <v>28.671721890000001</v>
      </c>
      <c r="N77" s="27">
        <v>0.77263699299999999</v>
      </c>
      <c r="O77" s="133">
        <v>1939</v>
      </c>
      <c r="P77" s="32">
        <v>19.834310219999999</v>
      </c>
      <c r="Q77">
        <v>0.73657043200000005</v>
      </c>
      <c r="R77">
        <v>1789</v>
      </c>
      <c r="S77">
        <v>22.806137700000001</v>
      </c>
      <c r="T77">
        <v>0.73657043200000005</v>
      </c>
      <c r="U77">
        <v>1789</v>
      </c>
      <c r="V77">
        <v>22.642737669999999</v>
      </c>
      <c r="W77">
        <v>0.73657043200000005</v>
      </c>
      <c r="X77">
        <v>1789</v>
      </c>
      <c r="Y77">
        <v>60.440447900000002</v>
      </c>
      <c r="Z77">
        <v>0.19732502800000001</v>
      </c>
      <c r="AA77">
        <v>132</v>
      </c>
      <c r="AB77">
        <v>68.681003959999998</v>
      </c>
      <c r="AC77">
        <v>0.207147568</v>
      </c>
      <c r="AD77">
        <v>159</v>
      </c>
      <c r="AE77">
        <v>0.20907911830000001</v>
      </c>
      <c r="AF77">
        <v>1.4094643E-2</v>
      </c>
      <c r="AG77">
        <v>63</v>
      </c>
      <c r="AH77">
        <v>0.77375181599999998</v>
      </c>
      <c r="AI77">
        <v>5.1334635000000003E-2</v>
      </c>
      <c r="AJ77">
        <v>193</v>
      </c>
      <c r="AK77">
        <v>59.780221820000001</v>
      </c>
      <c r="AL77">
        <v>0.207147568</v>
      </c>
      <c r="AM77">
        <v>159</v>
      </c>
      <c r="AN77">
        <v>69.172389730000006</v>
      </c>
      <c r="AO77">
        <v>0.207147568</v>
      </c>
      <c r="AP77">
        <v>159</v>
      </c>
      <c r="AQ77">
        <v>246.75779500000002</v>
      </c>
      <c r="AR77">
        <v>0.207147568</v>
      </c>
      <c r="AS77">
        <v>159</v>
      </c>
      <c r="AT77">
        <v>0.14191068000000001</v>
      </c>
      <c r="AU77">
        <v>0.47125018000000002</v>
      </c>
      <c r="AV77">
        <v>0.16085587000000001</v>
      </c>
      <c r="AW77">
        <v>2.6385056E-2</v>
      </c>
      <c r="AX77">
        <v>4.3590419999999996E-3</v>
      </c>
      <c r="AY77">
        <v>0.19523917099999999</v>
      </c>
      <c r="AZ77">
        <v>0</v>
      </c>
      <c r="BA77">
        <v>0.207147568</v>
      </c>
      <c r="BB77">
        <v>159</v>
      </c>
      <c r="BC77">
        <v>0</v>
      </c>
      <c r="BD77">
        <v>0.207147568</v>
      </c>
      <c r="BE77">
        <v>159</v>
      </c>
      <c r="BF77">
        <v>0</v>
      </c>
      <c r="BG77">
        <v>0.207147568</v>
      </c>
      <c r="BH77">
        <v>159</v>
      </c>
      <c r="BI77">
        <v>0</v>
      </c>
      <c r="BJ77">
        <v>0.207147568</v>
      </c>
      <c r="BK77">
        <v>159</v>
      </c>
      <c r="BL77">
        <v>0.21167872700000001</v>
      </c>
      <c r="BM77">
        <v>0.84407442200000005</v>
      </c>
      <c r="BN77">
        <v>2400</v>
      </c>
      <c r="BO77">
        <v>173.26931769999999</v>
      </c>
      <c r="BP77">
        <v>0.27483661300000001</v>
      </c>
      <c r="BQ77">
        <v>1049</v>
      </c>
      <c r="BR77">
        <v>2.1122256999999998E-2</v>
      </c>
      <c r="BS77">
        <v>3.5194649999999998E-3</v>
      </c>
      <c r="BT77">
        <v>0.84407442200000005</v>
      </c>
      <c r="BU77">
        <v>2400</v>
      </c>
      <c r="BV77">
        <v>0.59912705700000002</v>
      </c>
      <c r="BW77">
        <v>0.59912705700000002</v>
      </c>
      <c r="BX77">
        <v>1628</v>
      </c>
      <c r="BY77">
        <v>1.6354007448380001E-4</v>
      </c>
      <c r="BZ77">
        <v>0.99999999999987499</v>
      </c>
      <c r="CA77">
        <v>2518</v>
      </c>
      <c r="CB77">
        <v>0</v>
      </c>
      <c r="CC77">
        <v>0.99999999999987499</v>
      </c>
      <c r="CD77">
        <v>2518</v>
      </c>
      <c r="CE77">
        <v>0</v>
      </c>
      <c r="CF77">
        <v>0.56698996406029101</v>
      </c>
      <c r="CG77">
        <v>1787</v>
      </c>
      <c r="CH77">
        <v>0</v>
      </c>
      <c r="CI77">
        <v>1</v>
      </c>
      <c r="CJ77">
        <v>2518</v>
      </c>
      <c r="CK77">
        <v>59.958302109999998</v>
      </c>
      <c r="CL77">
        <v>0.18786029000000001</v>
      </c>
      <c r="CM77">
        <v>156</v>
      </c>
      <c r="CN77">
        <v>0.22915290699999999</v>
      </c>
      <c r="CO77">
        <v>0.56630293799999998</v>
      </c>
      <c r="CP77">
        <v>1784</v>
      </c>
      <c r="CQ77">
        <v>16</v>
      </c>
      <c r="CR77">
        <v>0.56698996400000001</v>
      </c>
      <c r="CS77">
        <v>1787</v>
      </c>
      <c r="CT77">
        <v>288475516.69999999</v>
      </c>
      <c r="CU77">
        <v>0.56698996400000001</v>
      </c>
      <c r="CV77">
        <v>1787</v>
      </c>
      <c r="CW77">
        <v>0.18109260599999999</v>
      </c>
      <c r="CX77">
        <v>0.27934621999999998</v>
      </c>
      <c r="CY77">
        <v>1061</v>
      </c>
      <c r="CZ77">
        <v>66234.100000000006</v>
      </c>
      <c r="DA77">
        <v>0.27948989000000002</v>
      </c>
      <c r="DB77">
        <v>1056</v>
      </c>
      <c r="DC77">
        <v>70.238429510000003</v>
      </c>
      <c r="DD77">
        <v>0.207147568</v>
      </c>
      <c r="DE77">
        <v>159</v>
      </c>
      <c r="DF77" s="171" t="s">
        <v>195</v>
      </c>
      <c r="DG77" s="171" t="s">
        <v>445</v>
      </c>
    </row>
    <row r="78" spans="2:111" x14ac:dyDescent="0.35">
      <c r="B78" s="171" t="str">
        <f t="shared" si="1"/>
        <v>iBoxx Global Government Overall ESG Tilted Weight Capped45596</v>
      </c>
      <c r="C78">
        <v>1196</v>
      </c>
      <c r="D78" t="s">
        <v>485</v>
      </c>
      <c r="E78" t="s">
        <v>12</v>
      </c>
      <c r="F78" s="26">
        <v>45596</v>
      </c>
      <c r="G78">
        <v>1845</v>
      </c>
      <c r="H78">
        <v>1845</v>
      </c>
      <c r="I78">
        <v>0</v>
      </c>
      <c r="J78" s="27">
        <v>1</v>
      </c>
      <c r="K78" s="27">
        <v>0</v>
      </c>
      <c r="L78" s="25" t="s">
        <v>455</v>
      </c>
      <c r="M78" s="32">
        <v>65.365052300000002</v>
      </c>
      <c r="N78" s="27">
        <v>0.99978094100000003</v>
      </c>
      <c r="O78" s="133">
        <v>1838</v>
      </c>
      <c r="P78" s="32">
        <v>59.164233099999997</v>
      </c>
      <c r="Q78">
        <v>0.99978094100000003</v>
      </c>
      <c r="R78">
        <v>1838</v>
      </c>
      <c r="S78">
        <v>66.326870929999998</v>
      </c>
      <c r="T78">
        <v>0.99978094100000003</v>
      </c>
      <c r="U78">
        <v>1838</v>
      </c>
      <c r="V78">
        <v>66.552025009999994</v>
      </c>
      <c r="W78">
        <v>0.99978094100000003</v>
      </c>
      <c r="X78">
        <v>1838</v>
      </c>
      <c r="Y78">
        <v>53.221870150000001</v>
      </c>
      <c r="Z78">
        <v>0.99248497800000002</v>
      </c>
      <c r="AA78">
        <v>1766</v>
      </c>
      <c r="AB78">
        <v>64.231759690000004</v>
      </c>
      <c r="AC78">
        <v>0.99978094100000003</v>
      </c>
      <c r="AD78">
        <v>1838</v>
      </c>
      <c r="AE78" s="234" t="s">
        <v>460</v>
      </c>
      <c r="AF78">
        <v>0</v>
      </c>
      <c r="AG78">
        <v>0</v>
      </c>
      <c r="AH78" s="234" t="s">
        <v>460</v>
      </c>
      <c r="AI78">
        <v>0</v>
      </c>
      <c r="AJ78">
        <v>0</v>
      </c>
      <c r="AK78">
        <v>58.230946529999997</v>
      </c>
      <c r="AL78">
        <v>0.99978094100000003</v>
      </c>
      <c r="AM78">
        <v>1838</v>
      </c>
      <c r="AN78">
        <v>71.782496379999998</v>
      </c>
      <c r="AO78">
        <v>0.99978094100000003</v>
      </c>
      <c r="AP78">
        <v>1838</v>
      </c>
      <c r="AQ78">
        <v>326.391209</v>
      </c>
      <c r="AR78">
        <v>0.99978094100000003</v>
      </c>
      <c r="AS78">
        <v>1838</v>
      </c>
      <c r="AT78">
        <v>2.1108029E-2</v>
      </c>
      <c r="AU78">
        <v>0.85407503500000004</v>
      </c>
      <c r="AV78">
        <v>0.10673988399999999</v>
      </c>
      <c r="AW78">
        <v>0</v>
      </c>
      <c r="AX78">
        <v>0</v>
      </c>
      <c r="AY78">
        <v>1.8077052E-2</v>
      </c>
      <c r="AZ78">
        <v>0</v>
      </c>
      <c r="BA78">
        <v>0.99978094100000003</v>
      </c>
      <c r="BB78">
        <v>1838</v>
      </c>
      <c r="BC78">
        <v>0</v>
      </c>
      <c r="BD78">
        <v>0.99978094100000003</v>
      </c>
      <c r="BE78">
        <v>1838</v>
      </c>
      <c r="BF78">
        <v>0</v>
      </c>
      <c r="BG78">
        <v>0.99978094100000003</v>
      </c>
      <c r="BH78">
        <v>1838</v>
      </c>
      <c r="BI78">
        <v>0</v>
      </c>
      <c r="BJ78">
        <v>0.99978094100000003</v>
      </c>
      <c r="BK78">
        <v>1838</v>
      </c>
      <c r="BL78">
        <v>0</v>
      </c>
      <c r="BM78">
        <v>1.7857992999999999E-2</v>
      </c>
      <c r="BN78">
        <v>74</v>
      </c>
      <c r="BO78" s="234" t="s">
        <v>460</v>
      </c>
      <c r="BP78">
        <v>0</v>
      </c>
      <c r="BQ78">
        <v>0</v>
      </c>
      <c r="BR78" s="260" t="s">
        <v>460</v>
      </c>
      <c r="BS78">
        <v>0</v>
      </c>
      <c r="BT78">
        <v>1.7857992999999999E-2</v>
      </c>
      <c r="BU78">
        <v>74</v>
      </c>
      <c r="BV78">
        <v>7.625214E-3</v>
      </c>
      <c r="BW78">
        <v>7.625214E-3</v>
      </c>
      <c r="BX78">
        <v>30</v>
      </c>
      <c r="BY78">
        <v>0</v>
      </c>
      <c r="BZ78">
        <v>0.99999999999991096</v>
      </c>
      <c r="CA78">
        <v>1845</v>
      </c>
      <c r="CB78">
        <v>0</v>
      </c>
      <c r="CC78">
        <v>0.99999999999991096</v>
      </c>
      <c r="CD78">
        <v>1845</v>
      </c>
      <c r="CE78" s="234" t="s">
        <v>460</v>
      </c>
      <c r="CF78">
        <v>0</v>
      </c>
      <c r="CG78">
        <v>0</v>
      </c>
      <c r="CH78">
        <v>0</v>
      </c>
      <c r="CI78">
        <v>1</v>
      </c>
      <c r="CJ78">
        <v>1845</v>
      </c>
      <c r="CK78">
        <v>55.536284420000001</v>
      </c>
      <c r="CL78">
        <v>0.94457437399999999</v>
      </c>
      <c r="CM78">
        <v>1738</v>
      </c>
      <c r="CN78" s="234" t="s">
        <v>460</v>
      </c>
      <c r="CO78">
        <v>0</v>
      </c>
      <c r="CP78">
        <v>0</v>
      </c>
      <c r="CQ78" s="234" t="s">
        <v>460</v>
      </c>
      <c r="CR78">
        <v>0</v>
      </c>
      <c r="CS78">
        <v>0</v>
      </c>
      <c r="CT78" s="234" t="s">
        <v>460</v>
      </c>
      <c r="CU78">
        <v>0</v>
      </c>
      <c r="CV78">
        <v>0</v>
      </c>
      <c r="CW78" s="234" t="s">
        <v>460</v>
      </c>
      <c r="CX78">
        <v>0</v>
      </c>
      <c r="CY78">
        <v>0</v>
      </c>
      <c r="CZ78" s="234" t="s">
        <v>460</v>
      </c>
      <c r="DA78">
        <v>0</v>
      </c>
      <c r="DB78">
        <v>0</v>
      </c>
      <c r="DC78">
        <v>69.468989219999997</v>
      </c>
      <c r="DD78">
        <v>0.99978094100000003</v>
      </c>
      <c r="DE78">
        <v>1838</v>
      </c>
      <c r="DF78" s="171" t="s">
        <v>191</v>
      </c>
      <c r="DG78" s="171" t="s">
        <v>445</v>
      </c>
    </row>
    <row r="79" spans="2:111" x14ac:dyDescent="0.35">
      <c r="B79" s="171" t="str">
        <f t="shared" si="1"/>
        <v>iBoxx Global Government Overall ESG Tilted Weight Capped45626</v>
      </c>
      <c r="C79">
        <v>1197</v>
      </c>
      <c r="D79" t="s">
        <v>485</v>
      </c>
      <c r="E79" t="s">
        <v>12</v>
      </c>
      <c r="F79" s="26">
        <v>45626</v>
      </c>
      <c r="G79">
        <v>1847</v>
      </c>
      <c r="H79">
        <v>1847</v>
      </c>
      <c r="I79">
        <v>0</v>
      </c>
      <c r="J79" s="27">
        <v>1</v>
      </c>
      <c r="K79" s="27">
        <v>0</v>
      </c>
      <c r="L79" s="25" t="s">
        <v>455</v>
      </c>
      <c r="M79" s="32">
        <v>65.384989950000005</v>
      </c>
      <c r="N79" s="27">
        <v>0.99977976599999996</v>
      </c>
      <c r="O79" s="133">
        <v>1840</v>
      </c>
      <c r="P79" s="32">
        <v>59.17830361</v>
      </c>
      <c r="Q79">
        <v>0.99977976599999996</v>
      </c>
      <c r="R79">
        <v>1840</v>
      </c>
      <c r="S79">
        <v>66.342228329999998</v>
      </c>
      <c r="T79">
        <v>0.99977976599999996</v>
      </c>
      <c r="U79">
        <v>1840</v>
      </c>
      <c r="V79">
        <v>66.576928989999999</v>
      </c>
      <c r="W79">
        <v>0.99977976599999996</v>
      </c>
      <c r="X79">
        <v>1840</v>
      </c>
      <c r="Y79">
        <v>52.672041890000003</v>
      </c>
      <c r="Z79">
        <v>0.99251433300000003</v>
      </c>
      <c r="AA79">
        <v>1769</v>
      </c>
      <c r="AB79">
        <v>64.265408539999996</v>
      </c>
      <c r="AC79">
        <v>0.99977976599999996</v>
      </c>
      <c r="AD79">
        <v>1840</v>
      </c>
      <c r="AE79" s="234" t="s">
        <v>460</v>
      </c>
      <c r="AF79">
        <v>0</v>
      </c>
      <c r="AG79">
        <v>0</v>
      </c>
      <c r="AH79" s="234" t="s">
        <v>460</v>
      </c>
      <c r="AI79">
        <v>0</v>
      </c>
      <c r="AJ79">
        <v>0</v>
      </c>
      <c r="AK79">
        <v>58.233007350000001</v>
      </c>
      <c r="AL79">
        <v>0.99977976599999996</v>
      </c>
      <c r="AM79">
        <v>1840</v>
      </c>
      <c r="AN79">
        <v>71.815458599999999</v>
      </c>
      <c r="AO79">
        <v>0.99977976599999996</v>
      </c>
      <c r="AP79">
        <v>1840</v>
      </c>
      <c r="AQ79">
        <v>325.83486499999998</v>
      </c>
      <c r="AR79">
        <v>0.99977976599999996</v>
      </c>
      <c r="AS79">
        <v>1840</v>
      </c>
      <c r="AT79">
        <v>2.1162856000000001E-2</v>
      </c>
      <c r="AU79">
        <v>0.85496645500000001</v>
      </c>
      <c r="AV79">
        <v>0.105744538</v>
      </c>
      <c r="AW79">
        <v>0</v>
      </c>
      <c r="AX79">
        <v>0</v>
      </c>
      <c r="AY79">
        <v>1.8126152E-2</v>
      </c>
      <c r="AZ79">
        <v>0</v>
      </c>
      <c r="BA79">
        <v>0.99977976599999996</v>
      </c>
      <c r="BB79">
        <v>1840</v>
      </c>
      <c r="BC79">
        <v>0</v>
      </c>
      <c r="BD79">
        <v>0.99977976599999996</v>
      </c>
      <c r="BE79">
        <v>1840</v>
      </c>
      <c r="BF79">
        <v>0</v>
      </c>
      <c r="BG79">
        <v>0.99977976599999996</v>
      </c>
      <c r="BH79">
        <v>1840</v>
      </c>
      <c r="BI79">
        <v>0</v>
      </c>
      <c r="BJ79">
        <v>0.99977976599999996</v>
      </c>
      <c r="BK79">
        <v>1840</v>
      </c>
      <c r="BL79">
        <v>0</v>
      </c>
      <c r="BM79">
        <v>1.7905918E-2</v>
      </c>
      <c r="BN79">
        <v>74</v>
      </c>
      <c r="BO79" s="234" t="s">
        <v>460</v>
      </c>
      <c r="BP79">
        <v>0</v>
      </c>
      <c r="BQ79">
        <v>0</v>
      </c>
      <c r="BR79" s="260" t="s">
        <v>460</v>
      </c>
      <c r="BS79">
        <v>0</v>
      </c>
      <c r="BT79">
        <v>1.7905918E-2</v>
      </c>
      <c r="BU79">
        <v>74</v>
      </c>
      <c r="BV79">
        <v>7.7265670000000002E-3</v>
      </c>
      <c r="BW79">
        <v>7.7265670000000002E-3</v>
      </c>
      <c r="BX79">
        <v>30</v>
      </c>
      <c r="BY79">
        <v>0</v>
      </c>
      <c r="BZ79">
        <v>0.99999999999990996</v>
      </c>
      <c r="CA79">
        <v>1847</v>
      </c>
      <c r="CB79">
        <v>0</v>
      </c>
      <c r="CC79">
        <v>0.99999999999990996</v>
      </c>
      <c r="CD79">
        <v>1847</v>
      </c>
      <c r="CE79" s="234" t="s">
        <v>460</v>
      </c>
      <c r="CF79">
        <v>0</v>
      </c>
      <c r="CG79">
        <v>0</v>
      </c>
      <c r="CH79">
        <v>0</v>
      </c>
      <c r="CI79">
        <v>1</v>
      </c>
      <c r="CJ79">
        <v>1847</v>
      </c>
      <c r="CK79">
        <v>55.553644830000003</v>
      </c>
      <c r="CL79">
        <v>0.944504028</v>
      </c>
      <c r="CM79">
        <v>1737</v>
      </c>
      <c r="CN79" s="234" t="s">
        <v>460</v>
      </c>
      <c r="CO79">
        <v>0</v>
      </c>
      <c r="CP79">
        <v>0</v>
      </c>
      <c r="CQ79" s="234" t="s">
        <v>460</v>
      </c>
      <c r="CR79">
        <v>0</v>
      </c>
      <c r="CS79">
        <v>0</v>
      </c>
      <c r="CT79" s="234" t="s">
        <v>460</v>
      </c>
      <c r="CU79">
        <v>0</v>
      </c>
      <c r="CV79">
        <v>0</v>
      </c>
      <c r="CW79" s="234" t="s">
        <v>460</v>
      </c>
      <c r="CX79">
        <v>0</v>
      </c>
      <c r="CY79">
        <v>0</v>
      </c>
      <c r="CZ79" s="234" t="s">
        <v>460</v>
      </c>
      <c r="DA79">
        <v>0</v>
      </c>
      <c r="DB79">
        <v>0</v>
      </c>
      <c r="DC79">
        <v>69.487436079999995</v>
      </c>
      <c r="DD79">
        <v>0.99977976599999996</v>
      </c>
      <c r="DE79">
        <v>1840</v>
      </c>
      <c r="DF79" s="171" t="s">
        <v>191</v>
      </c>
      <c r="DG79" s="171" t="s">
        <v>445</v>
      </c>
    </row>
    <row r="80" spans="2:111" x14ac:dyDescent="0.35">
      <c r="B80" s="171" t="str">
        <f t="shared" si="1"/>
        <v>iBoxx Global Government Developed Markets ESG Tilted Weight Capped45596</v>
      </c>
      <c r="C80">
        <v>1210</v>
      </c>
      <c r="D80" t="s">
        <v>486</v>
      </c>
      <c r="E80" t="s">
        <v>190</v>
      </c>
      <c r="F80" s="26">
        <v>45596</v>
      </c>
      <c r="G80">
        <v>1217</v>
      </c>
      <c r="H80">
        <v>1217</v>
      </c>
      <c r="I80">
        <v>0</v>
      </c>
      <c r="J80" s="27">
        <v>1</v>
      </c>
      <c r="K80" s="27">
        <v>0</v>
      </c>
      <c r="L80" s="25" t="s">
        <v>455</v>
      </c>
      <c r="M80" s="32">
        <v>68.182428759999993</v>
      </c>
      <c r="N80" s="27">
        <v>1</v>
      </c>
      <c r="O80" s="133">
        <v>1217</v>
      </c>
      <c r="P80" s="32">
        <v>63.77869115</v>
      </c>
      <c r="Q80">
        <v>1</v>
      </c>
      <c r="R80">
        <v>1217</v>
      </c>
      <c r="S80">
        <v>67.902848370000001</v>
      </c>
      <c r="T80">
        <v>1</v>
      </c>
      <c r="U80">
        <v>1217</v>
      </c>
      <c r="V80">
        <v>69.699256320000003</v>
      </c>
      <c r="W80">
        <v>1</v>
      </c>
      <c r="X80">
        <v>1217</v>
      </c>
      <c r="Y80">
        <v>52.482772220000001</v>
      </c>
      <c r="Z80">
        <v>0.99333372399999997</v>
      </c>
      <c r="AA80">
        <v>1180</v>
      </c>
      <c r="AB80">
        <v>68.856070500000001</v>
      </c>
      <c r="AC80">
        <v>1</v>
      </c>
      <c r="AD80">
        <v>1217</v>
      </c>
      <c r="AE80" s="234" t="s">
        <v>460</v>
      </c>
      <c r="AF80">
        <v>0</v>
      </c>
      <c r="AG80">
        <v>0</v>
      </c>
      <c r="AH80" s="234" t="s">
        <v>460</v>
      </c>
      <c r="AI80">
        <v>0</v>
      </c>
      <c r="AJ80">
        <v>0</v>
      </c>
      <c r="AK80">
        <v>58.567711629999998</v>
      </c>
      <c r="AL80">
        <v>1</v>
      </c>
      <c r="AM80">
        <v>1217</v>
      </c>
      <c r="AN80">
        <v>74.981245659999999</v>
      </c>
      <c r="AO80">
        <v>1</v>
      </c>
      <c r="AP80">
        <v>1217</v>
      </c>
      <c r="AQ80">
        <v>237.46667599999998</v>
      </c>
      <c r="AR80">
        <v>1</v>
      </c>
      <c r="AS80">
        <v>1217</v>
      </c>
      <c r="AT80">
        <v>2.8474301E-2</v>
      </c>
      <c r="AU80">
        <v>0.95539070699999995</v>
      </c>
      <c r="AV80">
        <v>0</v>
      </c>
      <c r="AW80">
        <v>0</v>
      </c>
      <c r="AX80">
        <v>0</v>
      </c>
      <c r="AY80">
        <v>1.6134992000000001E-2</v>
      </c>
      <c r="AZ80">
        <v>0</v>
      </c>
      <c r="BA80">
        <v>1</v>
      </c>
      <c r="BB80">
        <v>1217</v>
      </c>
      <c r="BC80">
        <v>0</v>
      </c>
      <c r="BD80">
        <v>1</v>
      </c>
      <c r="BE80">
        <v>1217</v>
      </c>
      <c r="BF80">
        <v>0</v>
      </c>
      <c r="BG80">
        <v>1</v>
      </c>
      <c r="BH80">
        <v>1217</v>
      </c>
      <c r="BI80">
        <v>0</v>
      </c>
      <c r="BJ80">
        <v>1</v>
      </c>
      <c r="BK80">
        <v>1217</v>
      </c>
      <c r="BL80">
        <v>0</v>
      </c>
      <c r="BM80">
        <v>1.6134992000000001E-2</v>
      </c>
      <c r="BN80">
        <v>73</v>
      </c>
      <c r="BO80" s="234" t="s">
        <v>460</v>
      </c>
      <c r="BP80">
        <v>0</v>
      </c>
      <c r="BQ80">
        <v>0</v>
      </c>
      <c r="BR80" s="260" t="s">
        <v>460</v>
      </c>
      <c r="BS80">
        <v>0</v>
      </c>
      <c r="BT80">
        <v>1.6134992000000001E-2</v>
      </c>
      <c r="BU80">
        <v>73</v>
      </c>
      <c r="BV80">
        <v>8.6759369999999999E-3</v>
      </c>
      <c r="BW80">
        <v>8.6759369999999999E-3</v>
      </c>
      <c r="BX80">
        <v>29</v>
      </c>
      <c r="BY80">
        <v>0</v>
      </c>
      <c r="BZ80">
        <v>0.99999999999994105</v>
      </c>
      <c r="CA80">
        <v>1217</v>
      </c>
      <c r="CB80">
        <v>0</v>
      </c>
      <c r="CC80">
        <v>0.99999999999994105</v>
      </c>
      <c r="CD80">
        <v>1217</v>
      </c>
      <c r="CE80" s="234" t="s">
        <v>460</v>
      </c>
      <c r="CF80">
        <v>0</v>
      </c>
      <c r="CG80">
        <v>0</v>
      </c>
      <c r="CH80">
        <v>0</v>
      </c>
      <c r="CI80">
        <v>1</v>
      </c>
      <c r="CJ80">
        <v>1217</v>
      </c>
      <c r="CK80">
        <v>57.704724329999998</v>
      </c>
      <c r="CL80">
        <v>0.94141740500000004</v>
      </c>
      <c r="CM80">
        <v>1157</v>
      </c>
      <c r="CN80" s="234" t="s">
        <v>460</v>
      </c>
      <c r="CO80">
        <v>0</v>
      </c>
      <c r="CP80">
        <v>0</v>
      </c>
      <c r="CQ80" s="234" t="s">
        <v>460</v>
      </c>
      <c r="CR80">
        <v>0</v>
      </c>
      <c r="CS80">
        <v>0</v>
      </c>
      <c r="CT80" s="234" t="s">
        <v>460</v>
      </c>
      <c r="CU80">
        <v>0</v>
      </c>
      <c r="CV80">
        <v>0</v>
      </c>
      <c r="CW80" s="234" t="s">
        <v>460</v>
      </c>
      <c r="CX80">
        <v>0</v>
      </c>
      <c r="CY80">
        <v>0</v>
      </c>
      <c r="CZ80" s="234" t="s">
        <v>460</v>
      </c>
      <c r="DA80">
        <v>0</v>
      </c>
      <c r="DB80">
        <v>0</v>
      </c>
      <c r="DC80">
        <v>72.323862520000006</v>
      </c>
      <c r="DD80">
        <v>1</v>
      </c>
      <c r="DE80">
        <v>1217</v>
      </c>
      <c r="DF80" s="171" t="s">
        <v>191</v>
      </c>
      <c r="DG80" s="171" t="s">
        <v>445</v>
      </c>
    </row>
    <row r="81" spans="2:111" x14ac:dyDescent="0.35">
      <c r="B81" s="171" t="str">
        <f t="shared" si="1"/>
        <v>iBoxx Global Government Developed Markets ESG Tilted Weight Capped45626</v>
      </c>
      <c r="C81">
        <v>1440</v>
      </c>
      <c r="D81" t="s">
        <v>486</v>
      </c>
      <c r="E81" t="s">
        <v>190</v>
      </c>
      <c r="F81" s="26">
        <v>45626</v>
      </c>
      <c r="G81">
        <v>1213</v>
      </c>
      <c r="H81">
        <v>1213</v>
      </c>
      <c r="I81">
        <v>0</v>
      </c>
      <c r="J81" s="27">
        <v>1</v>
      </c>
      <c r="K81" s="27">
        <v>0</v>
      </c>
      <c r="L81" s="25" t="s">
        <v>455</v>
      </c>
      <c r="M81" s="32">
        <v>68.180908360000004</v>
      </c>
      <c r="N81" s="27">
        <v>1</v>
      </c>
      <c r="O81" s="133">
        <v>1213</v>
      </c>
      <c r="P81" s="32">
        <v>63.774671259999998</v>
      </c>
      <c r="Q81">
        <v>1</v>
      </c>
      <c r="R81">
        <v>1213</v>
      </c>
      <c r="S81">
        <v>67.906995649999999</v>
      </c>
      <c r="T81">
        <v>1</v>
      </c>
      <c r="U81">
        <v>1213</v>
      </c>
      <c r="V81">
        <v>69.694518380000005</v>
      </c>
      <c r="W81">
        <v>1</v>
      </c>
      <c r="X81">
        <v>1213</v>
      </c>
      <c r="Y81">
        <v>51.862944429999999</v>
      </c>
      <c r="Z81">
        <v>0.99339913000000002</v>
      </c>
      <c r="AA81">
        <v>1177</v>
      </c>
      <c r="AB81">
        <v>68.84402077</v>
      </c>
      <c r="AC81">
        <v>1</v>
      </c>
      <c r="AD81">
        <v>1213</v>
      </c>
      <c r="AE81" s="234" t="s">
        <v>460</v>
      </c>
      <c r="AF81">
        <v>0</v>
      </c>
      <c r="AG81">
        <v>0</v>
      </c>
      <c r="AH81" s="234" t="s">
        <v>460</v>
      </c>
      <c r="AI81">
        <v>0</v>
      </c>
      <c r="AJ81">
        <v>0</v>
      </c>
      <c r="AK81">
        <v>58.54938276</v>
      </c>
      <c r="AL81">
        <v>1</v>
      </c>
      <c r="AM81">
        <v>1213</v>
      </c>
      <c r="AN81">
        <v>74.987472800000006</v>
      </c>
      <c r="AO81">
        <v>1</v>
      </c>
      <c r="AP81">
        <v>1213</v>
      </c>
      <c r="AQ81">
        <v>237.590541</v>
      </c>
      <c r="AR81">
        <v>1</v>
      </c>
      <c r="AS81">
        <v>1213</v>
      </c>
      <c r="AT81">
        <v>2.8511238000000001E-2</v>
      </c>
      <c r="AU81">
        <v>0.95524496199999998</v>
      </c>
      <c r="AV81">
        <v>0</v>
      </c>
      <c r="AW81">
        <v>0</v>
      </c>
      <c r="AX81">
        <v>0</v>
      </c>
      <c r="AY81">
        <v>1.6243799999999999E-2</v>
      </c>
      <c r="AZ81">
        <v>0</v>
      </c>
      <c r="BA81">
        <v>1</v>
      </c>
      <c r="BB81">
        <v>1213</v>
      </c>
      <c r="BC81">
        <v>0</v>
      </c>
      <c r="BD81">
        <v>1</v>
      </c>
      <c r="BE81">
        <v>1213</v>
      </c>
      <c r="BF81">
        <v>0</v>
      </c>
      <c r="BG81">
        <v>1</v>
      </c>
      <c r="BH81">
        <v>1213</v>
      </c>
      <c r="BI81">
        <v>0</v>
      </c>
      <c r="BJ81">
        <v>1</v>
      </c>
      <c r="BK81">
        <v>1213</v>
      </c>
      <c r="BL81">
        <v>0</v>
      </c>
      <c r="BM81">
        <v>1.6243799999999999E-2</v>
      </c>
      <c r="BN81">
        <v>73</v>
      </c>
      <c r="BO81" s="234" t="s">
        <v>460</v>
      </c>
      <c r="BP81">
        <v>0</v>
      </c>
      <c r="BQ81">
        <v>0</v>
      </c>
      <c r="BR81" s="260" t="s">
        <v>460</v>
      </c>
      <c r="BS81">
        <v>0</v>
      </c>
      <c r="BT81">
        <v>1.6243799999999999E-2</v>
      </c>
      <c r="BU81">
        <v>73</v>
      </c>
      <c r="BV81">
        <v>8.76329E-3</v>
      </c>
      <c r="BW81">
        <v>8.76329E-3</v>
      </c>
      <c r="BX81">
        <v>29</v>
      </c>
      <c r="BY81">
        <v>0</v>
      </c>
      <c r="BZ81">
        <v>0.99999999999994205</v>
      </c>
      <c r="CA81">
        <v>1213</v>
      </c>
      <c r="CB81">
        <v>0</v>
      </c>
      <c r="CC81">
        <v>0.99999999999994205</v>
      </c>
      <c r="CD81">
        <v>1213</v>
      </c>
      <c r="CE81" s="234" t="s">
        <v>460</v>
      </c>
      <c r="CF81">
        <v>0</v>
      </c>
      <c r="CG81">
        <v>0</v>
      </c>
      <c r="CH81">
        <v>0</v>
      </c>
      <c r="CI81">
        <v>1</v>
      </c>
      <c r="CJ81">
        <v>1213</v>
      </c>
      <c r="CK81">
        <v>57.695957360000001</v>
      </c>
      <c r="CL81">
        <v>0.94137738400000004</v>
      </c>
      <c r="CM81">
        <v>1152</v>
      </c>
      <c r="CN81" s="234" t="s">
        <v>460</v>
      </c>
      <c r="CO81">
        <v>0</v>
      </c>
      <c r="CP81">
        <v>0</v>
      </c>
      <c r="CQ81" s="234" t="s">
        <v>460</v>
      </c>
      <c r="CR81">
        <v>0</v>
      </c>
      <c r="CS81">
        <v>0</v>
      </c>
      <c r="CT81" s="234" t="s">
        <v>460</v>
      </c>
      <c r="CU81">
        <v>0</v>
      </c>
      <c r="CV81">
        <v>0</v>
      </c>
      <c r="CW81" s="234" t="s">
        <v>460</v>
      </c>
      <c r="CX81">
        <v>0</v>
      </c>
      <c r="CY81">
        <v>0</v>
      </c>
      <c r="CZ81" s="234" t="s">
        <v>460</v>
      </c>
      <c r="DA81">
        <v>0</v>
      </c>
      <c r="DB81">
        <v>0</v>
      </c>
      <c r="DC81">
        <v>72.317190049999994</v>
      </c>
      <c r="DD81">
        <v>1</v>
      </c>
      <c r="DE81">
        <v>1213</v>
      </c>
      <c r="DF81" s="171" t="s">
        <v>191</v>
      </c>
      <c r="DG81" s="171" t="s">
        <v>445</v>
      </c>
    </row>
    <row r="82" spans="2:111" x14ac:dyDescent="0.35">
      <c r="B82" s="171" t="str">
        <f t="shared" si="1"/>
        <v>Hang Seng Markit iBoxx Offshore RMB Green Bonds45596</v>
      </c>
      <c r="C82">
        <v>1443</v>
      </c>
      <c r="D82" t="s">
        <v>487</v>
      </c>
      <c r="E82" t="s">
        <v>142</v>
      </c>
      <c r="F82" s="26">
        <v>45596</v>
      </c>
      <c r="G82">
        <v>48</v>
      </c>
      <c r="H82">
        <v>13</v>
      </c>
      <c r="I82">
        <v>35</v>
      </c>
      <c r="J82" s="27">
        <v>0.44705208299999999</v>
      </c>
      <c r="K82" s="27">
        <v>0.55294791700000001</v>
      </c>
      <c r="L82" t="s">
        <v>451</v>
      </c>
      <c r="M82" s="32">
        <v>38.895758379999997</v>
      </c>
      <c r="N82" s="27">
        <v>0.90548727900000003</v>
      </c>
      <c r="O82" s="133">
        <v>37</v>
      </c>
      <c r="P82" s="32">
        <v>23.26192327</v>
      </c>
      <c r="Q82">
        <v>0.90548727900000003</v>
      </c>
      <c r="R82">
        <v>37</v>
      </c>
      <c r="S82">
        <v>37.70393876</v>
      </c>
      <c r="T82">
        <v>0.90548727900000003</v>
      </c>
      <c r="U82">
        <v>37</v>
      </c>
      <c r="V82">
        <v>32.951260660000003</v>
      </c>
      <c r="W82">
        <v>0.90548727900000003</v>
      </c>
      <c r="X82">
        <v>37</v>
      </c>
      <c r="Y82" s="234" t="s">
        <v>460</v>
      </c>
      <c r="Z82">
        <v>0</v>
      </c>
      <c r="AA82">
        <v>0</v>
      </c>
      <c r="AB82">
        <v>44.581876360000003</v>
      </c>
      <c r="AC82">
        <v>0.44705208299999999</v>
      </c>
      <c r="AD82">
        <v>13</v>
      </c>
      <c r="AE82" s="234" t="s">
        <v>460</v>
      </c>
      <c r="AF82">
        <v>0</v>
      </c>
      <c r="AG82">
        <v>0</v>
      </c>
      <c r="AH82" s="234" t="s">
        <v>460</v>
      </c>
      <c r="AI82">
        <v>0</v>
      </c>
      <c r="AJ82">
        <v>0</v>
      </c>
      <c r="AK82">
        <v>64.248614579999995</v>
      </c>
      <c r="AL82">
        <v>0.44705208299999999</v>
      </c>
      <c r="AM82">
        <v>13</v>
      </c>
      <c r="AN82">
        <v>73.301712179999996</v>
      </c>
      <c r="AO82">
        <v>0.44705208299999999</v>
      </c>
      <c r="AP82">
        <v>13</v>
      </c>
      <c r="AQ82">
        <v>114.726579</v>
      </c>
      <c r="AR82">
        <v>0.44705208299999999</v>
      </c>
      <c r="AS82">
        <v>13</v>
      </c>
      <c r="AT82">
        <v>7.8286778000000001E-2</v>
      </c>
      <c r="AU82">
        <v>0.61826947799999998</v>
      </c>
      <c r="AV82">
        <v>9.5355061000000005E-2</v>
      </c>
      <c r="AW82">
        <v>0.113575962</v>
      </c>
      <c r="AX82">
        <v>0</v>
      </c>
      <c r="AY82">
        <v>9.4512720999999994E-2</v>
      </c>
      <c r="AZ82">
        <v>0</v>
      </c>
      <c r="BA82">
        <v>0.44705208299999999</v>
      </c>
      <c r="BB82">
        <v>13</v>
      </c>
      <c r="BC82">
        <v>0</v>
      </c>
      <c r="BD82">
        <v>0.44705208299999999</v>
      </c>
      <c r="BE82">
        <v>13</v>
      </c>
      <c r="BF82">
        <v>0</v>
      </c>
      <c r="BG82">
        <v>0.44705208299999999</v>
      </c>
      <c r="BH82">
        <v>13</v>
      </c>
      <c r="BI82"/>
      <c r="BJ82">
        <v>0.44705208299999999</v>
      </c>
      <c r="BK82">
        <v>13</v>
      </c>
      <c r="BL82">
        <v>0.14240666399999999</v>
      </c>
      <c r="BM82">
        <v>0.55294791700000001</v>
      </c>
      <c r="BN82">
        <v>35</v>
      </c>
      <c r="BO82">
        <v>8.6988765749999999</v>
      </c>
      <c r="BP82">
        <v>0.326457948</v>
      </c>
      <c r="BQ82">
        <v>15</v>
      </c>
      <c r="BR82">
        <v>8.9135470999999994E-2</v>
      </c>
      <c r="BS82">
        <v>0</v>
      </c>
      <c r="BT82">
        <v>0.55294791700000001</v>
      </c>
      <c r="BU82">
        <v>35</v>
      </c>
      <c r="BV82">
        <v>1</v>
      </c>
      <c r="BW82">
        <v>1</v>
      </c>
      <c r="BX82">
        <v>48</v>
      </c>
      <c r="BY82">
        <v>0</v>
      </c>
      <c r="BZ82">
        <v>0.999999999999999</v>
      </c>
      <c r="CA82">
        <v>48</v>
      </c>
      <c r="CB82">
        <v>0</v>
      </c>
      <c r="CC82">
        <v>0.999999999999999</v>
      </c>
      <c r="CD82">
        <v>48</v>
      </c>
      <c r="CE82">
        <v>0</v>
      </c>
      <c r="CF82">
        <v>0.45843519566061502</v>
      </c>
      <c r="CG82">
        <v>24</v>
      </c>
      <c r="CH82">
        <v>0</v>
      </c>
      <c r="CI82">
        <v>1</v>
      </c>
      <c r="CJ82">
        <v>48</v>
      </c>
      <c r="CK82">
        <v>43.149221490000002</v>
      </c>
      <c r="CL82">
        <v>0.44705208299999999</v>
      </c>
      <c r="CM82">
        <v>13</v>
      </c>
      <c r="CN82">
        <v>0.187188935</v>
      </c>
      <c r="CO82">
        <v>0.45843519599999999</v>
      </c>
      <c r="CP82">
        <v>24</v>
      </c>
      <c r="CQ82">
        <v>0</v>
      </c>
      <c r="CR82">
        <v>0.45843519599999999</v>
      </c>
      <c r="CS82">
        <v>24</v>
      </c>
      <c r="CT82">
        <v>0</v>
      </c>
      <c r="CU82">
        <v>0.45843519599999999</v>
      </c>
      <c r="CV82">
        <v>24</v>
      </c>
      <c r="CW82">
        <v>9.0348112999999994E-2</v>
      </c>
      <c r="CX82">
        <v>0.326457948</v>
      </c>
      <c r="CY82">
        <v>15</v>
      </c>
      <c r="CZ82">
        <v>655.6</v>
      </c>
      <c r="DA82">
        <v>0.326457948</v>
      </c>
      <c r="DB82">
        <v>15</v>
      </c>
      <c r="DC82">
        <v>77.736582470000002</v>
      </c>
      <c r="DD82">
        <v>0.44705208299999999</v>
      </c>
      <c r="DE82">
        <v>13</v>
      </c>
      <c r="DF82" s="171" t="s">
        <v>143</v>
      </c>
      <c r="DG82" s="171" t="s">
        <v>445</v>
      </c>
    </row>
    <row r="83" spans="2:111" x14ac:dyDescent="0.35">
      <c r="B83" s="171" t="str">
        <f t="shared" si="1"/>
        <v>Hang Seng Markit iBoxx Offshore RMB Green Bonds45626</v>
      </c>
      <c r="C83">
        <v>2152</v>
      </c>
      <c r="D83" t="s">
        <v>487</v>
      </c>
      <c r="E83" t="s">
        <v>142</v>
      </c>
      <c r="F83" s="26">
        <v>45626</v>
      </c>
      <c r="G83">
        <v>47</v>
      </c>
      <c r="H83">
        <v>12</v>
      </c>
      <c r="I83">
        <v>35</v>
      </c>
      <c r="J83" s="27">
        <v>0.43205769300000002</v>
      </c>
      <c r="K83" s="27">
        <v>0.56794230700000004</v>
      </c>
      <c r="L83" t="s">
        <v>451</v>
      </c>
      <c r="M83" s="32">
        <v>38.262665820000002</v>
      </c>
      <c r="N83" s="27">
        <v>0.90299706800000001</v>
      </c>
      <c r="O83" s="133">
        <v>36</v>
      </c>
      <c r="P83" s="32">
        <v>22.609955549999999</v>
      </c>
      <c r="Q83">
        <v>0.90299706800000001</v>
      </c>
      <c r="R83">
        <v>36</v>
      </c>
      <c r="S83">
        <v>36.786311830000002</v>
      </c>
      <c r="T83">
        <v>0.90299706800000001</v>
      </c>
      <c r="U83">
        <v>36</v>
      </c>
      <c r="V83">
        <v>32.188957909999999</v>
      </c>
      <c r="W83">
        <v>0.90299706800000001</v>
      </c>
      <c r="X83">
        <v>36</v>
      </c>
      <c r="Y83" s="234" t="s">
        <v>460</v>
      </c>
      <c r="Z83">
        <v>0</v>
      </c>
      <c r="AA83">
        <v>0</v>
      </c>
      <c r="AB83">
        <v>44.581876360000003</v>
      </c>
      <c r="AC83">
        <v>0.43205769300000002</v>
      </c>
      <c r="AD83">
        <v>12</v>
      </c>
      <c r="AE83" s="234" t="s">
        <v>460</v>
      </c>
      <c r="AF83">
        <v>0</v>
      </c>
      <c r="AG83">
        <v>0</v>
      </c>
      <c r="AH83" s="234" t="s">
        <v>460</v>
      </c>
      <c r="AI83">
        <v>0</v>
      </c>
      <c r="AJ83">
        <v>0</v>
      </c>
      <c r="AK83">
        <v>64.248614579999995</v>
      </c>
      <c r="AL83">
        <v>0.43205769300000002</v>
      </c>
      <c r="AM83">
        <v>12</v>
      </c>
      <c r="AN83">
        <v>73.301712179999996</v>
      </c>
      <c r="AO83">
        <v>0.43205769300000002</v>
      </c>
      <c r="AP83">
        <v>12</v>
      </c>
      <c r="AQ83">
        <v>114.726579</v>
      </c>
      <c r="AR83">
        <v>0.43205769300000002</v>
      </c>
      <c r="AS83">
        <v>12</v>
      </c>
      <c r="AT83">
        <v>8.0544309999999994E-2</v>
      </c>
      <c r="AU83">
        <v>0.60815451099999995</v>
      </c>
      <c r="AV83">
        <v>9.7827432000000006E-2</v>
      </c>
      <c r="AW83">
        <v>0.11647081500000001</v>
      </c>
      <c r="AX83">
        <v>0</v>
      </c>
      <c r="AY83">
        <v>9.7002932E-2</v>
      </c>
      <c r="AZ83">
        <v>0</v>
      </c>
      <c r="BA83">
        <v>0.43205769300000002</v>
      </c>
      <c r="BB83">
        <v>12</v>
      </c>
      <c r="BC83">
        <v>0</v>
      </c>
      <c r="BD83">
        <v>0.43205769300000002</v>
      </c>
      <c r="BE83">
        <v>12</v>
      </c>
      <c r="BF83">
        <v>0</v>
      </c>
      <c r="BG83">
        <v>0.43205769300000002</v>
      </c>
      <c r="BH83">
        <v>12</v>
      </c>
      <c r="BI83"/>
      <c r="BJ83">
        <v>0.43205769300000002</v>
      </c>
      <c r="BK83">
        <v>12</v>
      </c>
      <c r="BL83">
        <v>0.14637624299999999</v>
      </c>
      <c r="BM83">
        <v>0.56794230700000004</v>
      </c>
      <c r="BN83">
        <v>35</v>
      </c>
      <c r="BO83">
        <v>8.6982264560000004</v>
      </c>
      <c r="BP83">
        <v>0.33516851800000003</v>
      </c>
      <c r="BQ83">
        <v>15</v>
      </c>
      <c r="BR83">
        <v>9.1211501E-2</v>
      </c>
      <c r="BS83">
        <v>0</v>
      </c>
      <c r="BT83">
        <v>0.56794230700000004</v>
      </c>
      <c r="BU83">
        <v>35</v>
      </c>
      <c r="BV83">
        <v>1</v>
      </c>
      <c r="BW83">
        <v>1</v>
      </c>
      <c r="BX83">
        <v>47</v>
      </c>
      <c r="BY83">
        <v>0</v>
      </c>
      <c r="BZ83">
        <v>0.999999999999999</v>
      </c>
      <c r="CA83">
        <v>47</v>
      </c>
      <c r="CB83">
        <v>0</v>
      </c>
      <c r="CC83">
        <v>0.999999999999999</v>
      </c>
      <c r="CD83">
        <v>47</v>
      </c>
      <c r="CE83">
        <v>0</v>
      </c>
      <c r="CF83">
        <v>0.47093937524878499</v>
      </c>
      <c r="CG83">
        <v>24</v>
      </c>
      <c r="CH83">
        <v>0</v>
      </c>
      <c r="CI83">
        <v>1</v>
      </c>
      <c r="CJ83">
        <v>47</v>
      </c>
      <c r="CK83">
        <v>43.149221490000002</v>
      </c>
      <c r="CL83">
        <v>0.43205769300000002</v>
      </c>
      <c r="CM83">
        <v>12</v>
      </c>
      <c r="CN83">
        <v>0.19230645599999999</v>
      </c>
      <c r="CO83">
        <v>0.47093937499999999</v>
      </c>
      <c r="CP83">
        <v>24</v>
      </c>
      <c r="CQ83">
        <v>0</v>
      </c>
      <c r="CR83">
        <v>0.47093937499999999</v>
      </c>
      <c r="CS83">
        <v>24</v>
      </c>
      <c r="CT83">
        <v>0</v>
      </c>
      <c r="CU83">
        <v>0.47093937499999999</v>
      </c>
      <c r="CV83">
        <v>24</v>
      </c>
      <c r="CW83">
        <v>9.2811040999999997E-2</v>
      </c>
      <c r="CX83">
        <v>0.33516851800000003</v>
      </c>
      <c r="CY83">
        <v>15</v>
      </c>
      <c r="CZ83">
        <v>655.6</v>
      </c>
      <c r="DA83">
        <v>0.33516851800000003</v>
      </c>
      <c r="DB83">
        <v>15</v>
      </c>
      <c r="DC83">
        <v>77.736582470000002</v>
      </c>
      <c r="DD83">
        <v>0.43205769300000002</v>
      </c>
      <c r="DE83">
        <v>12</v>
      </c>
      <c r="DF83" s="171" t="s">
        <v>143</v>
      </c>
      <c r="DG83" s="171" t="s">
        <v>445</v>
      </c>
    </row>
    <row r="84" spans="2:111" x14ac:dyDescent="0.35">
      <c r="B84" s="171" t="str">
        <f t="shared" si="1"/>
        <v>iBoxx SGD Green Bonds45596</v>
      </c>
      <c r="C84">
        <v>2616</v>
      </c>
      <c r="D84" t="s">
        <v>488</v>
      </c>
      <c r="E84" t="s">
        <v>257</v>
      </c>
      <c r="F84" s="26">
        <v>45596</v>
      </c>
      <c r="G84">
        <v>19</v>
      </c>
      <c r="H84">
        <v>2</v>
      </c>
      <c r="I84">
        <v>17</v>
      </c>
      <c r="J84" s="27">
        <v>0.52436404800000003</v>
      </c>
      <c r="K84" s="27">
        <v>0.47563595199999997</v>
      </c>
      <c r="L84" t="s">
        <v>451</v>
      </c>
      <c r="M84" s="32">
        <v>63.892884530000003</v>
      </c>
      <c r="N84" s="27">
        <v>0.91158749500000003</v>
      </c>
      <c r="O84" s="133">
        <v>13</v>
      </c>
      <c r="P84" s="32">
        <v>46.548383530000002</v>
      </c>
      <c r="Q84">
        <v>0.91158749500000003</v>
      </c>
      <c r="R84">
        <v>13</v>
      </c>
      <c r="S84">
        <v>64.781887429999998</v>
      </c>
      <c r="T84">
        <v>0.91158749500000003</v>
      </c>
      <c r="U84">
        <v>13</v>
      </c>
      <c r="V84">
        <v>67.062242949999998</v>
      </c>
      <c r="W84">
        <v>0.91158749500000003</v>
      </c>
      <c r="X84">
        <v>13</v>
      </c>
      <c r="Y84" s="234" t="s">
        <v>460</v>
      </c>
      <c r="Z84">
        <v>0</v>
      </c>
      <c r="AA84">
        <v>0</v>
      </c>
      <c r="AB84">
        <v>50.729021439999997</v>
      </c>
      <c r="AC84">
        <v>0.87282695499999996</v>
      </c>
      <c r="AD84">
        <v>9</v>
      </c>
      <c r="AE84" s="234" t="s">
        <v>460</v>
      </c>
      <c r="AF84">
        <v>0</v>
      </c>
      <c r="AG84">
        <v>0</v>
      </c>
      <c r="AH84">
        <v>1.098104784</v>
      </c>
      <c r="AI84">
        <v>3.0564946999999999E-2</v>
      </c>
      <c r="AJ84">
        <v>3</v>
      </c>
      <c r="AK84">
        <v>79.591067480000007</v>
      </c>
      <c r="AL84">
        <v>0.87282695499999996</v>
      </c>
      <c r="AM84">
        <v>9</v>
      </c>
      <c r="AN84">
        <v>81.773828260000002</v>
      </c>
      <c r="AO84">
        <v>0.87282695499999996</v>
      </c>
      <c r="AP84">
        <v>9</v>
      </c>
      <c r="AQ84">
        <v>148.637258</v>
      </c>
      <c r="AR84">
        <v>0.87282695499999996</v>
      </c>
      <c r="AS84">
        <v>9</v>
      </c>
      <c r="AT84">
        <v>0</v>
      </c>
      <c r="AU84">
        <v>0.54353985100000002</v>
      </c>
      <c r="AV84">
        <v>0</v>
      </c>
      <c r="AW84">
        <v>1.9584737000000001E-2</v>
      </c>
      <c r="AX84">
        <v>0</v>
      </c>
      <c r="AY84">
        <v>0.43687541200000002</v>
      </c>
      <c r="AZ84">
        <v>0</v>
      </c>
      <c r="BA84">
        <v>0.87282695499999996</v>
      </c>
      <c r="BB84">
        <v>9</v>
      </c>
      <c r="BC84">
        <v>0</v>
      </c>
      <c r="BD84">
        <v>0.87282695499999996</v>
      </c>
      <c r="BE84">
        <v>9</v>
      </c>
      <c r="BF84">
        <v>0</v>
      </c>
      <c r="BG84">
        <v>0.87282695499999996</v>
      </c>
      <c r="BH84">
        <v>9</v>
      </c>
      <c r="BI84">
        <v>0</v>
      </c>
      <c r="BJ84">
        <v>0.87282695499999996</v>
      </c>
      <c r="BK84">
        <v>9</v>
      </c>
      <c r="BL84">
        <v>6.1337717999999999E-2</v>
      </c>
      <c r="BM84">
        <v>0.47563595199999997</v>
      </c>
      <c r="BN84">
        <v>17</v>
      </c>
      <c r="BO84">
        <v>444.46777370000001</v>
      </c>
      <c r="BP84">
        <v>3.8760540000000003E-2</v>
      </c>
      <c r="BQ84">
        <v>4</v>
      </c>
      <c r="BR84" s="260">
        <v>0</v>
      </c>
      <c r="BS84">
        <v>0</v>
      </c>
      <c r="BT84">
        <v>0.47563595199999997</v>
      </c>
      <c r="BU84">
        <v>17</v>
      </c>
      <c r="BV84">
        <v>1</v>
      </c>
      <c r="BW84">
        <v>1</v>
      </c>
      <c r="BX84">
        <v>19</v>
      </c>
      <c r="BY84">
        <v>0</v>
      </c>
      <c r="BZ84">
        <v>0.999999999999999</v>
      </c>
      <c r="CA84">
        <v>19</v>
      </c>
      <c r="CB84">
        <v>0</v>
      </c>
      <c r="CC84">
        <v>0.999999999999999</v>
      </c>
      <c r="CD84">
        <v>19</v>
      </c>
      <c r="CE84">
        <v>0</v>
      </c>
      <c r="CF84">
        <v>3.8760539675031201E-2</v>
      </c>
      <c r="CG84">
        <v>4</v>
      </c>
      <c r="CH84">
        <v>0</v>
      </c>
      <c r="CI84">
        <v>1</v>
      </c>
      <c r="CJ84">
        <v>19</v>
      </c>
      <c r="CK84">
        <v>46.040598840000001</v>
      </c>
      <c r="CL84">
        <v>0.87282695499999996</v>
      </c>
      <c r="CM84">
        <v>9</v>
      </c>
      <c r="CN84">
        <v>8.1955929999999993E-3</v>
      </c>
      <c r="CO84">
        <v>3.8760540000000003E-2</v>
      </c>
      <c r="CP84">
        <v>4</v>
      </c>
      <c r="CQ84">
        <v>0</v>
      </c>
      <c r="CR84">
        <v>3.8760540000000003E-2</v>
      </c>
      <c r="CS84">
        <v>4</v>
      </c>
      <c r="CT84">
        <v>0</v>
      </c>
      <c r="CU84">
        <v>3.8760540000000003E-2</v>
      </c>
      <c r="CV84">
        <v>4</v>
      </c>
      <c r="CW84">
        <v>1.2898181999999999E-2</v>
      </c>
      <c r="CX84">
        <v>3.8760540000000003E-2</v>
      </c>
      <c r="CY84">
        <v>4</v>
      </c>
      <c r="CZ84">
        <v>261.89999999999998</v>
      </c>
      <c r="DA84">
        <v>3.8760540000000003E-2</v>
      </c>
      <c r="DB84">
        <v>4</v>
      </c>
      <c r="DC84">
        <v>85.644966760000003</v>
      </c>
      <c r="DD84">
        <v>0.87282695499999996</v>
      </c>
      <c r="DE84">
        <v>9</v>
      </c>
      <c r="DF84" s="171" t="s">
        <v>258</v>
      </c>
      <c r="DG84" s="171" t="s">
        <v>445</v>
      </c>
    </row>
    <row r="85" spans="2:111" x14ac:dyDescent="0.35">
      <c r="B85" s="171" t="str">
        <f t="shared" si="1"/>
        <v>iBoxx SGD Green Bonds45626</v>
      </c>
      <c r="C85">
        <v>3354</v>
      </c>
      <c r="D85" t="s">
        <v>488</v>
      </c>
      <c r="E85" t="s">
        <v>257</v>
      </c>
      <c r="F85" s="26">
        <v>45626</v>
      </c>
      <c r="G85">
        <v>20</v>
      </c>
      <c r="H85">
        <v>2</v>
      </c>
      <c r="I85">
        <v>18</v>
      </c>
      <c r="J85" s="27">
        <v>0.501785068</v>
      </c>
      <c r="K85" s="27">
        <v>0.498214932</v>
      </c>
      <c r="L85" t="s">
        <v>451</v>
      </c>
      <c r="M85" s="32">
        <v>63.973236929999999</v>
      </c>
      <c r="N85" s="27">
        <v>0.91600237200000001</v>
      </c>
      <c r="O85" s="133">
        <v>14</v>
      </c>
      <c r="P85" s="32">
        <v>46.615155360000003</v>
      </c>
      <c r="Q85">
        <v>0.91600237200000001</v>
      </c>
      <c r="R85">
        <v>14</v>
      </c>
      <c r="S85">
        <v>64.896656739999997</v>
      </c>
      <c r="T85">
        <v>0.91600237200000001</v>
      </c>
      <c r="U85">
        <v>14</v>
      </c>
      <c r="V85">
        <v>67.18202119</v>
      </c>
      <c r="W85">
        <v>0.91600237200000001</v>
      </c>
      <c r="X85">
        <v>14</v>
      </c>
      <c r="Y85" s="234" t="s">
        <v>460</v>
      </c>
      <c r="Z85">
        <v>0</v>
      </c>
      <c r="AA85">
        <v>0</v>
      </c>
      <c r="AB85">
        <v>50.729021439999997</v>
      </c>
      <c r="AC85">
        <v>0.87874669400000005</v>
      </c>
      <c r="AD85">
        <v>10</v>
      </c>
      <c r="AE85" s="234" t="s">
        <v>460</v>
      </c>
      <c r="AF85">
        <v>0</v>
      </c>
      <c r="AG85">
        <v>0</v>
      </c>
      <c r="AH85">
        <v>1.0939859709999999</v>
      </c>
      <c r="AI85">
        <v>2.9380705999999999E-2</v>
      </c>
      <c r="AJ85">
        <v>3</v>
      </c>
      <c r="AK85">
        <v>79.591067480000007</v>
      </c>
      <c r="AL85">
        <v>0.87874669400000005</v>
      </c>
      <c r="AM85">
        <v>10</v>
      </c>
      <c r="AN85">
        <v>81.773828260000002</v>
      </c>
      <c r="AO85">
        <v>0.87874669400000005</v>
      </c>
      <c r="AP85">
        <v>10</v>
      </c>
      <c r="AQ85">
        <v>148.637258</v>
      </c>
      <c r="AR85">
        <v>0.87874669400000005</v>
      </c>
      <c r="AS85">
        <v>10</v>
      </c>
      <c r="AT85">
        <v>0</v>
      </c>
      <c r="AU85">
        <v>0.52016641500000005</v>
      </c>
      <c r="AV85">
        <v>0</v>
      </c>
      <c r="AW85">
        <v>1.8874331000000001E-2</v>
      </c>
      <c r="AX85">
        <v>0</v>
      </c>
      <c r="AY85">
        <v>0.46095925399999998</v>
      </c>
      <c r="AZ85">
        <v>0</v>
      </c>
      <c r="BA85">
        <v>0.87874669400000005</v>
      </c>
      <c r="BB85">
        <v>10</v>
      </c>
      <c r="BC85">
        <v>0</v>
      </c>
      <c r="BD85">
        <v>0.87874669400000005</v>
      </c>
      <c r="BE85">
        <v>10</v>
      </c>
      <c r="BF85">
        <v>0</v>
      </c>
      <c r="BG85">
        <v>0.87874669400000005</v>
      </c>
      <c r="BH85">
        <v>10</v>
      </c>
      <c r="BI85">
        <v>0</v>
      </c>
      <c r="BJ85">
        <v>0.87874669400000005</v>
      </c>
      <c r="BK85">
        <v>10</v>
      </c>
      <c r="BL85">
        <v>5.8650500000000001E-2</v>
      </c>
      <c r="BM85">
        <v>0.498214932</v>
      </c>
      <c r="BN85">
        <v>18</v>
      </c>
      <c r="BO85">
        <v>445.63683630000003</v>
      </c>
      <c r="BP85">
        <v>3.7255678E-2</v>
      </c>
      <c r="BQ85">
        <v>4</v>
      </c>
      <c r="BR85" s="260">
        <v>0</v>
      </c>
      <c r="BS85">
        <v>0</v>
      </c>
      <c r="BT85">
        <v>0.498214932</v>
      </c>
      <c r="BU85">
        <v>18</v>
      </c>
      <c r="BV85">
        <v>1</v>
      </c>
      <c r="BW85">
        <v>1</v>
      </c>
      <c r="BX85">
        <v>20</v>
      </c>
      <c r="BY85">
        <v>0</v>
      </c>
      <c r="BZ85">
        <v>0.999999999999999</v>
      </c>
      <c r="CA85">
        <v>20</v>
      </c>
      <c r="CB85">
        <v>0</v>
      </c>
      <c r="CC85">
        <v>0.999999999999999</v>
      </c>
      <c r="CD85">
        <v>20</v>
      </c>
      <c r="CE85">
        <v>0</v>
      </c>
      <c r="CF85">
        <v>3.7255677582453198E-2</v>
      </c>
      <c r="CG85">
        <v>4</v>
      </c>
      <c r="CH85">
        <v>0</v>
      </c>
      <c r="CI85">
        <v>1</v>
      </c>
      <c r="CJ85">
        <v>20</v>
      </c>
      <c r="CK85">
        <v>46.040598840000001</v>
      </c>
      <c r="CL85">
        <v>0.87874669400000005</v>
      </c>
      <c r="CM85">
        <v>10</v>
      </c>
      <c r="CN85">
        <v>7.8749709999999997E-3</v>
      </c>
      <c r="CO85">
        <v>3.7255678E-2</v>
      </c>
      <c r="CP85">
        <v>4</v>
      </c>
      <c r="CQ85">
        <v>0</v>
      </c>
      <c r="CR85">
        <v>3.7255678E-2</v>
      </c>
      <c r="CS85">
        <v>4</v>
      </c>
      <c r="CT85">
        <v>0</v>
      </c>
      <c r="CU85">
        <v>3.7255678E-2</v>
      </c>
      <c r="CV85">
        <v>4</v>
      </c>
      <c r="CW85">
        <v>1.2394766E-2</v>
      </c>
      <c r="CX85">
        <v>3.7255678E-2</v>
      </c>
      <c r="CY85">
        <v>4</v>
      </c>
      <c r="CZ85">
        <v>261.89999999999998</v>
      </c>
      <c r="DA85">
        <v>3.7255678E-2</v>
      </c>
      <c r="DB85">
        <v>4</v>
      </c>
      <c r="DC85">
        <v>85.644966760000003</v>
      </c>
      <c r="DD85">
        <v>0.87874669400000005</v>
      </c>
      <c r="DE85">
        <v>10</v>
      </c>
      <c r="DF85" s="171" t="s">
        <v>258</v>
      </c>
      <c r="DG85" s="171" t="s">
        <v>445</v>
      </c>
    </row>
    <row r="86" spans="2:111" x14ac:dyDescent="0.35">
      <c r="B86" s="171" t="str">
        <f t="shared" si="1"/>
        <v>iBoxx ALBI Green Bonds Unconstrained45596</v>
      </c>
      <c r="C86">
        <v>3745</v>
      </c>
      <c r="D86" t="s">
        <v>489</v>
      </c>
      <c r="E86" t="s">
        <v>146</v>
      </c>
      <c r="F86" s="26">
        <v>45596</v>
      </c>
      <c r="G86">
        <v>80</v>
      </c>
      <c r="H86">
        <v>18</v>
      </c>
      <c r="I86">
        <v>62</v>
      </c>
      <c r="J86" s="27">
        <v>0.40589007799999999</v>
      </c>
      <c r="K86" s="27">
        <v>0.59410992200000001</v>
      </c>
      <c r="L86" t="s">
        <v>451</v>
      </c>
      <c r="M86" s="32">
        <v>44.044777959999998</v>
      </c>
      <c r="N86" s="27">
        <v>0.86062810599999995</v>
      </c>
      <c r="O86" s="133">
        <v>63</v>
      </c>
      <c r="P86" s="32">
        <v>35.452507339999997</v>
      </c>
      <c r="Q86">
        <v>0.67252583399999999</v>
      </c>
      <c r="R86">
        <v>59</v>
      </c>
      <c r="S86">
        <v>50.055504790000001</v>
      </c>
      <c r="T86">
        <v>0.67252583399999999</v>
      </c>
      <c r="U86">
        <v>59</v>
      </c>
      <c r="V86">
        <v>51.72873834</v>
      </c>
      <c r="W86">
        <v>0.67252583399999999</v>
      </c>
      <c r="X86">
        <v>59</v>
      </c>
      <c r="Y86">
        <v>53.936891150000001</v>
      </c>
      <c r="Z86">
        <v>0.109705253</v>
      </c>
      <c r="AA86">
        <v>5</v>
      </c>
      <c r="AB86">
        <v>49.846588930000003</v>
      </c>
      <c r="AC86">
        <v>0.53153153200000003</v>
      </c>
      <c r="AD86">
        <v>25</v>
      </c>
      <c r="AE86" s="234" t="s">
        <v>460</v>
      </c>
      <c r="AF86">
        <v>0</v>
      </c>
      <c r="AG86">
        <v>0</v>
      </c>
      <c r="AH86">
        <v>0.2</v>
      </c>
      <c r="AI86">
        <v>1.4122908E-2</v>
      </c>
      <c r="AJ86">
        <v>2</v>
      </c>
      <c r="AK86">
        <v>68.927521530000007</v>
      </c>
      <c r="AL86">
        <v>0.53153153200000003</v>
      </c>
      <c r="AM86">
        <v>25</v>
      </c>
      <c r="AN86">
        <v>74.245933100000002</v>
      </c>
      <c r="AO86">
        <v>0.53153153200000003</v>
      </c>
      <c r="AP86">
        <v>25</v>
      </c>
      <c r="AQ86">
        <v>366.29492000000005</v>
      </c>
      <c r="AR86">
        <v>0.53153153200000003</v>
      </c>
      <c r="AS86">
        <v>25</v>
      </c>
      <c r="AT86">
        <v>2.3827236000000002E-2</v>
      </c>
      <c r="AU86">
        <v>0.58570067599999998</v>
      </c>
      <c r="AV86">
        <v>1.9416665E-2</v>
      </c>
      <c r="AW86">
        <v>0.14517880499999999</v>
      </c>
      <c r="AX86">
        <v>0</v>
      </c>
      <c r="AY86">
        <v>0.225876618</v>
      </c>
      <c r="AZ86">
        <v>0</v>
      </c>
      <c r="BA86">
        <v>0.53153153200000003</v>
      </c>
      <c r="BB86">
        <v>25</v>
      </c>
      <c r="BC86">
        <v>0</v>
      </c>
      <c r="BD86">
        <v>0.53153153200000003</v>
      </c>
      <c r="BE86">
        <v>25</v>
      </c>
      <c r="BF86">
        <v>0</v>
      </c>
      <c r="BG86">
        <v>0.53153153200000003</v>
      </c>
      <c r="BH86">
        <v>25</v>
      </c>
      <c r="BI86">
        <v>0</v>
      </c>
      <c r="BJ86">
        <v>0.53153153200000003</v>
      </c>
      <c r="BK86">
        <v>25</v>
      </c>
      <c r="BL86">
        <v>9.9300912000000005E-2</v>
      </c>
      <c r="BM86">
        <v>0.59410992200000001</v>
      </c>
      <c r="BN86">
        <v>62</v>
      </c>
      <c r="BO86">
        <v>136.74831370000001</v>
      </c>
      <c r="BP86">
        <v>0.10109006</v>
      </c>
      <c r="BQ86">
        <v>23</v>
      </c>
      <c r="BR86">
        <v>3.0801935999999999E-2</v>
      </c>
      <c r="BS86">
        <v>0</v>
      </c>
      <c r="BT86">
        <v>0.59410992200000001</v>
      </c>
      <c r="BU86">
        <v>62</v>
      </c>
      <c r="BV86">
        <v>1</v>
      </c>
      <c r="BW86">
        <v>1</v>
      </c>
      <c r="BX86">
        <v>80</v>
      </c>
      <c r="BY86">
        <v>0</v>
      </c>
      <c r="BZ86">
        <v>0.999999999999996</v>
      </c>
      <c r="CA86">
        <v>80</v>
      </c>
      <c r="CB86">
        <v>0</v>
      </c>
      <c r="CC86">
        <v>0.999999999999996</v>
      </c>
      <c r="CD86">
        <v>80</v>
      </c>
      <c r="CE86">
        <v>0</v>
      </c>
      <c r="CF86">
        <v>0.329096573794114</v>
      </c>
      <c r="CG86">
        <v>38</v>
      </c>
      <c r="CH86">
        <v>0</v>
      </c>
      <c r="CI86">
        <v>1</v>
      </c>
      <c r="CJ86">
        <v>80</v>
      </c>
      <c r="CK86">
        <v>46.48380384</v>
      </c>
      <c r="CL86">
        <v>0.53153153200000003</v>
      </c>
      <c r="CM86">
        <v>25</v>
      </c>
      <c r="CN86">
        <v>0.23653522799999999</v>
      </c>
      <c r="CO86">
        <v>0.32909657399999998</v>
      </c>
      <c r="CP86">
        <v>38</v>
      </c>
      <c r="CQ86">
        <v>0</v>
      </c>
      <c r="CR86">
        <v>0.32909657399999998</v>
      </c>
      <c r="CS86">
        <v>38</v>
      </c>
      <c r="CT86">
        <v>0</v>
      </c>
      <c r="CU86">
        <v>0.32909657399999998</v>
      </c>
      <c r="CV86">
        <v>38</v>
      </c>
      <c r="CW86">
        <v>3.3504443000000002E-2</v>
      </c>
      <c r="CX86">
        <v>0.10109006</v>
      </c>
      <c r="CY86">
        <v>23</v>
      </c>
      <c r="CZ86">
        <v>1253.7</v>
      </c>
      <c r="DA86">
        <v>0.10109006</v>
      </c>
      <c r="DB86">
        <v>23</v>
      </c>
      <c r="DC86">
        <v>75.902926730000004</v>
      </c>
      <c r="DD86">
        <v>0.53153153200000003</v>
      </c>
      <c r="DE86">
        <v>25</v>
      </c>
      <c r="DF86" s="171" t="s">
        <v>147</v>
      </c>
      <c r="DG86" s="171" t="s">
        <v>445</v>
      </c>
    </row>
    <row r="87" spans="2:111" x14ac:dyDescent="0.35">
      <c r="B87" s="171" t="str">
        <f t="shared" si="1"/>
        <v>iBoxx ALBI Green Bonds Unconstrained45626</v>
      </c>
      <c r="C87">
        <v>8092</v>
      </c>
      <c r="D87" t="s">
        <v>489</v>
      </c>
      <c r="E87" t="s">
        <v>146</v>
      </c>
      <c r="F87" s="26">
        <v>45626</v>
      </c>
      <c r="G87">
        <v>80</v>
      </c>
      <c r="H87">
        <v>18</v>
      </c>
      <c r="I87">
        <v>62</v>
      </c>
      <c r="J87" s="27">
        <v>0.40260731300000002</v>
      </c>
      <c r="K87" s="27">
        <v>0.59739268700000003</v>
      </c>
      <c r="L87" t="s">
        <v>451</v>
      </c>
      <c r="M87" s="32">
        <v>44.424005229999999</v>
      </c>
      <c r="N87" s="27">
        <v>0.86825000500000005</v>
      </c>
      <c r="O87" s="133">
        <v>64</v>
      </c>
      <c r="P87" s="32">
        <v>35.723750350000003</v>
      </c>
      <c r="Q87">
        <v>0.68217245699999995</v>
      </c>
      <c r="R87">
        <v>60</v>
      </c>
      <c r="S87">
        <v>50.407621579999997</v>
      </c>
      <c r="T87">
        <v>0.68217245699999995</v>
      </c>
      <c r="U87">
        <v>60</v>
      </c>
      <c r="V87">
        <v>52.138082199999999</v>
      </c>
      <c r="W87">
        <v>0.68217245699999995</v>
      </c>
      <c r="X87">
        <v>60</v>
      </c>
      <c r="Y87">
        <v>56.869142359999998</v>
      </c>
      <c r="Z87">
        <v>0.110443843</v>
      </c>
      <c r="AA87">
        <v>5</v>
      </c>
      <c r="AB87">
        <v>49.88496129</v>
      </c>
      <c r="AC87">
        <v>0.54279409899999997</v>
      </c>
      <c r="AD87">
        <v>26</v>
      </c>
      <c r="AE87" s="234" t="s">
        <v>460</v>
      </c>
      <c r="AF87">
        <v>0</v>
      </c>
      <c r="AG87">
        <v>0</v>
      </c>
      <c r="AH87">
        <v>0.2</v>
      </c>
      <c r="AI87">
        <v>1.4038202E-2</v>
      </c>
      <c r="AJ87">
        <v>2</v>
      </c>
      <c r="AK87">
        <v>69.143073040000004</v>
      </c>
      <c r="AL87">
        <v>0.54279409899999997</v>
      </c>
      <c r="AM87">
        <v>26</v>
      </c>
      <c r="AN87">
        <v>74.388169970000007</v>
      </c>
      <c r="AO87">
        <v>0.54279409899999997</v>
      </c>
      <c r="AP87">
        <v>26</v>
      </c>
      <c r="AQ87">
        <v>363.35643099999999</v>
      </c>
      <c r="AR87">
        <v>0.54279409899999997</v>
      </c>
      <c r="AS87">
        <v>26</v>
      </c>
      <c r="AT87">
        <v>2.3460381999999998E-2</v>
      </c>
      <c r="AU87">
        <v>0.57862738400000002</v>
      </c>
      <c r="AV87">
        <v>1.9148014000000001E-2</v>
      </c>
      <c r="AW87">
        <v>0.14545311899999999</v>
      </c>
      <c r="AX87">
        <v>0</v>
      </c>
      <c r="AY87">
        <v>0.23331110099999999</v>
      </c>
      <c r="AZ87">
        <v>0</v>
      </c>
      <c r="BA87">
        <v>0.54279409899999997</v>
      </c>
      <c r="BB87">
        <v>26</v>
      </c>
      <c r="BC87">
        <v>0</v>
      </c>
      <c r="BD87">
        <v>0.54279409899999997</v>
      </c>
      <c r="BE87">
        <v>26</v>
      </c>
      <c r="BF87">
        <v>0</v>
      </c>
      <c r="BG87">
        <v>0.54279409899999997</v>
      </c>
      <c r="BH87">
        <v>26</v>
      </c>
      <c r="BI87">
        <v>0</v>
      </c>
      <c r="BJ87">
        <v>0.54279409899999997</v>
      </c>
      <c r="BK87">
        <v>26</v>
      </c>
      <c r="BL87">
        <v>9.8192557999999999E-2</v>
      </c>
      <c r="BM87">
        <v>0.59739268700000003</v>
      </c>
      <c r="BN87">
        <v>62</v>
      </c>
      <c r="BO87">
        <v>137.4387528</v>
      </c>
      <c r="BP87">
        <v>9.9955213000000001E-2</v>
      </c>
      <c r="BQ87">
        <v>23</v>
      </c>
      <c r="BR87">
        <v>3.0466571000000001E-2</v>
      </c>
      <c r="BS87">
        <v>0</v>
      </c>
      <c r="BT87">
        <v>0.59739268700000003</v>
      </c>
      <c r="BU87">
        <v>62</v>
      </c>
      <c r="BV87">
        <v>1</v>
      </c>
      <c r="BW87">
        <v>1</v>
      </c>
      <c r="BX87">
        <v>80</v>
      </c>
      <c r="BY87">
        <v>0</v>
      </c>
      <c r="BZ87">
        <v>0.999999999999997</v>
      </c>
      <c r="CA87">
        <v>80</v>
      </c>
      <c r="CB87">
        <v>0</v>
      </c>
      <c r="CC87">
        <v>0.999999999999997</v>
      </c>
      <c r="CD87">
        <v>80</v>
      </c>
      <c r="CE87">
        <v>0</v>
      </c>
      <c r="CF87">
        <v>0.32545590535139801</v>
      </c>
      <c r="CG87">
        <v>38</v>
      </c>
      <c r="CH87">
        <v>0</v>
      </c>
      <c r="CI87">
        <v>1</v>
      </c>
      <c r="CJ87">
        <v>80</v>
      </c>
      <c r="CK87">
        <v>46.489702700000002</v>
      </c>
      <c r="CL87">
        <v>0.54279409899999997</v>
      </c>
      <c r="CM87">
        <v>26</v>
      </c>
      <c r="CN87">
        <v>0.233919022</v>
      </c>
      <c r="CO87">
        <v>0.32545590499999999</v>
      </c>
      <c r="CP87">
        <v>38</v>
      </c>
      <c r="CQ87">
        <v>0</v>
      </c>
      <c r="CR87">
        <v>0.32545590499999999</v>
      </c>
      <c r="CS87">
        <v>38</v>
      </c>
      <c r="CT87">
        <v>0</v>
      </c>
      <c r="CU87">
        <v>0.32545590499999999</v>
      </c>
      <c r="CV87">
        <v>38</v>
      </c>
      <c r="CW87">
        <v>3.3199483000000002E-2</v>
      </c>
      <c r="CX87">
        <v>9.9955213000000001E-2</v>
      </c>
      <c r="CY87">
        <v>23</v>
      </c>
      <c r="CZ87">
        <v>1253.7</v>
      </c>
      <c r="DA87">
        <v>9.9955213000000001E-2</v>
      </c>
      <c r="DB87">
        <v>23</v>
      </c>
      <c r="DC87">
        <v>76.074134630000003</v>
      </c>
      <c r="DD87">
        <v>0.54279409899999997</v>
      </c>
      <c r="DE87">
        <v>26</v>
      </c>
      <c r="DF87" s="171" t="s">
        <v>147</v>
      </c>
      <c r="DG87" s="171" t="s">
        <v>445</v>
      </c>
    </row>
    <row r="88" spans="2:111" x14ac:dyDescent="0.35">
      <c r="B88" s="171" t="str">
        <f t="shared" si="1"/>
        <v>iBoxx ABF Green Bonds Unconstrained45596</v>
      </c>
      <c r="C88">
        <v>8278</v>
      </c>
      <c r="D88" t="s">
        <v>490</v>
      </c>
      <c r="E88" t="s">
        <v>144</v>
      </c>
      <c r="F88" s="26">
        <v>45596</v>
      </c>
      <c r="G88">
        <v>35</v>
      </c>
      <c r="H88">
        <v>4</v>
      </c>
      <c r="I88">
        <v>31</v>
      </c>
      <c r="J88" s="27">
        <v>0.35568525000000001</v>
      </c>
      <c r="K88" s="27">
        <v>0.64431475000000005</v>
      </c>
      <c r="L88" t="s">
        <v>451</v>
      </c>
      <c r="M88" s="32">
        <v>45.071142309999999</v>
      </c>
      <c r="N88" s="27">
        <v>0.88293191400000004</v>
      </c>
      <c r="O88" s="133">
        <v>27</v>
      </c>
      <c r="P88" s="32">
        <v>42.419935809999998</v>
      </c>
      <c r="Q88">
        <v>0.57202271500000001</v>
      </c>
      <c r="R88">
        <v>20</v>
      </c>
      <c r="S88">
        <v>61.482087159999999</v>
      </c>
      <c r="T88">
        <v>0.57202271500000001</v>
      </c>
      <c r="U88">
        <v>20</v>
      </c>
      <c r="V88">
        <v>62.356502229999997</v>
      </c>
      <c r="W88">
        <v>0.57202271500000001</v>
      </c>
      <c r="X88">
        <v>20</v>
      </c>
      <c r="Y88">
        <v>49.18422056</v>
      </c>
      <c r="Z88">
        <v>7.1761057000000003E-2</v>
      </c>
      <c r="AA88">
        <v>1</v>
      </c>
      <c r="AB88">
        <v>51.061242290000003</v>
      </c>
      <c r="AC88">
        <v>0.53820192200000005</v>
      </c>
      <c r="AD88">
        <v>11</v>
      </c>
      <c r="AE88" s="234" t="s">
        <v>460</v>
      </c>
      <c r="AF88">
        <v>0</v>
      </c>
      <c r="AG88">
        <v>0</v>
      </c>
      <c r="AH88" s="234" t="s">
        <v>460</v>
      </c>
      <c r="AI88">
        <v>0</v>
      </c>
      <c r="AJ88">
        <v>0</v>
      </c>
      <c r="AK88">
        <v>74.746809170000006</v>
      </c>
      <c r="AL88">
        <v>0.53820192200000005</v>
      </c>
      <c r="AM88">
        <v>11</v>
      </c>
      <c r="AN88">
        <v>77.181751719999994</v>
      </c>
      <c r="AO88">
        <v>0.53820192200000005</v>
      </c>
      <c r="AP88">
        <v>11</v>
      </c>
      <c r="AQ88">
        <v>260.107439</v>
      </c>
      <c r="AR88">
        <v>0.53820192200000005</v>
      </c>
      <c r="AS88">
        <v>11</v>
      </c>
      <c r="AT88">
        <v>0</v>
      </c>
      <c r="AU88">
        <v>0.72190164099999998</v>
      </c>
      <c r="AV88">
        <v>7.1761057000000003E-2</v>
      </c>
      <c r="AW88">
        <v>0</v>
      </c>
      <c r="AX88">
        <v>0</v>
      </c>
      <c r="AY88">
        <v>0.206337302</v>
      </c>
      <c r="AZ88">
        <v>0</v>
      </c>
      <c r="BA88">
        <v>0.53820192200000005</v>
      </c>
      <c r="BB88">
        <v>11</v>
      </c>
      <c r="BC88">
        <v>0</v>
      </c>
      <c r="BD88">
        <v>0.53820192200000005</v>
      </c>
      <c r="BE88">
        <v>11</v>
      </c>
      <c r="BF88">
        <v>0</v>
      </c>
      <c r="BG88">
        <v>0.53820192200000005</v>
      </c>
      <c r="BH88">
        <v>11</v>
      </c>
      <c r="BI88">
        <v>0</v>
      </c>
      <c r="BJ88">
        <v>0.53820192200000005</v>
      </c>
      <c r="BK88">
        <v>11</v>
      </c>
      <c r="BL88">
        <v>1.2054412E-2</v>
      </c>
      <c r="BM88">
        <v>0.64431475000000005</v>
      </c>
      <c r="BN88">
        <v>31</v>
      </c>
      <c r="BO88">
        <v>28.41</v>
      </c>
      <c r="BP88">
        <v>1.2054412E-2</v>
      </c>
      <c r="BQ88">
        <v>5</v>
      </c>
      <c r="BR88" s="260">
        <v>0</v>
      </c>
      <c r="BS88">
        <v>0</v>
      </c>
      <c r="BT88">
        <v>0.64431475000000005</v>
      </c>
      <c r="BU88">
        <v>31</v>
      </c>
      <c r="BV88">
        <v>1</v>
      </c>
      <c r="BW88">
        <v>1</v>
      </c>
      <c r="BX88">
        <v>35</v>
      </c>
      <c r="BY88">
        <v>0</v>
      </c>
      <c r="BZ88">
        <v>0.999999999999999</v>
      </c>
      <c r="CA88">
        <v>35</v>
      </c>
      <c r="CB88">
        <v>0</v>
      </c>
      <c r="CC88">
        <v>0.999999999999999</v>
      </c>
      <c r="CD88">
        <v>35</v>
      </c>
      <c r="CE88">
        <v>0</v>
      </c>
      <c r="CF88">
        <v>0.34472999183984399</v>
      </c>
      <c r="CG88">
        <v>16</v>
      </c>
      <c r="CH88">
        <v>0</v>
      </c>
      <c r="CI88">
        <v>1</v>
      </c>
      <c r="CJ88">
        <v>35</v>
      </c>
      <c r="CK88">
        <v>48.384500959999997</v>
      </c>
      <c r="CL88">
        <v>0.53820192200000005</v>
      </c>
      <c r="CM88">
        <v>11</v>
      </c>
      <c r="CN88">
        <v>0.33267558000000003</v>
      </c>
      <c r="CO88">
        <v>0.34472999199999999</v>
      </c>
      <c r="CP88">
        <v>16</v>
      </c>
      <c r="CQ88">
        <v>0</v>
      </c>
      <c r="CR88">
        <v>0.34472999199999999</v>
      </c>
      <c r="CS88">
        <v>16</v>
      </c>
      <c r="CT88">
        <v>0</v>
      </c>
      <c r="CU88">
        <v>0.34472999199999999</v>
      </c>
      <c r="CV88">
        <v>16</v>
      </c>
      <c r="CW88">
        <v>4.3051490000000003E-3</v>
      </c>
      <c r="CX88">
        <v>1.2054412E-2</v>
      </c>
      <c r="CY88">
        <v>5</v>
      </c>
      <c r="CZ88">
        <v>342</v>
      </c>
      <c r="DA88">
        <v>1.2054412E-2</v>
      </c>
      <c r="DB88">
        <v>5</v>
      </c>
      <c r="DC88">
        <v>79.998398449999996</v>
      </c>
      <c r="DD88">
        <v>0.53820192200000005</v>
      </c>
      <c r="DE88">
        <v>11</v>
      </c>
      <c r="DF88" s="171" t="s">
        <v>145</v>
      </c>
      <c r="DG88" s="171" t="s">
        <v>445</v>
      </c>
    </row>
    <row r="89" spans="2:111" x14ac:dyDescent="0.35">
      <c r="B89" s="171" t="str">
        <f t="shared" si="1"/>
        <v>iBoxx ABF Green Bonds Unconstrained45626</v>
      </c>
      <c r="C89">
        <v>9899</v>
      </c>
      <c r="D89" t="s">
        <v>490</v>
      </c>
      <c r="E89" t="s">
        <v>144</v>
      </c>
      <c r="F89" s="26">
        <v>45626</v>
      </c>
      <c r="G89">
        <v>37</v>
      </c>
      <c r="H89">
        <v>4</v>
      </c>
      <c r="I89">
        <v>33</v>
      </c>
      <c r="J89" s="27">
        <v>0.33900161699999998</v>
      </c>
      <c r="K89" s="27">
        <v>0.66099838300000002</v>
      </c>
      <c r="L89" t="s">
        <v>451</v>
      </c>
      <c r="M89" s="32">
        <v>44.828253709999998</v>
      </c>
      <c r="N89" s="27">
        <v>0.88774920999999996</v>
      </c>
      <c r="O89" s="133">
        <v>29</v>
      </c>
      <c r="P89" s="32">
        <v>42.599197099999998</v>
      </c>
      <c r="Q89">
        <v>0.56754170299999995</v>
      </c>
      <c r="R89">
        <v>21</v>
      </c>
      <c r="S89">
        <v>61.671933109999998</v>
      </c>
      <c r="T89">
        <v>0.56754170299999995</v>
      </c>
      <c r="U89">
        <v>21</v>
      </c>
      <c r="V89">
        <v>62.59134057</v>
      </c>
      <c r="W89">
        <v>0.56754170299999995</v>
      </c>
      <c r="X89">
        <v>21</v>
      </c>
      <c r="Y89">
        <v>47.725575239999998</v>
      </c>
      <c r="Z89">
        <v>6.8978101E-2</v>
      </c>
      <c r="AA89">
        <v>1</v>
      </c>
      <c r="AB89">
        <v>51.048945420000003</v>
      </c>
      <c r="AC89">
        <v>0.53507341200000003</v>
      </c>
      <c r="AD89">
        <v>12</v>
      </c>
      <c r="AE89" s="234" t="s">
        <v>460</v>
      </c>
      <c r="AF89">
        <v>0</v>
      </c>
      <c r="AG89">
        <v>0</v>
      </c>
      <c r="AH89" s="234" t="s">
        <v>460</v>
      </c>
      <c r="AI89">
        <v>0</v>
      </c>
      <c r="AJ89">
        <v>0</v>
      </c>
      <c r="AK89">
        <v>74.904253179999998</v>
      </c>
      <c r="AL89">
        <v>0.53507341200000003</v>
      </c>
      <c r="AM89">
        <v>12</v>
      </c>
      <c r="AN89">
        <v>77.332263990000001</v>
      </c>
      <c r="AO89">
        <v>0.53507341200000003</v>
      </c>
      <c r="AP89">
        <v>12</v>
      </c>
      <c r="AQ89">
        <v>256.40394300000003</v>
      </c>
      <c r="AR89">
        <v>0.53507341200000003</v>
      </c>
      <c r="AS89">
        <v>12</v>
      </c>
      <c r="AT89">
        <v>0</v>
      </c>
      <c r="AU89">
        <v>0.711471352</v>
      </c>
      <c r="AV89">
        <v>6.8978101E-2</v>
      </c>
      <c r="AW89">
        <v>0</v>
      </c>
      <c r="AX89">
        <v>0</v>
      </c>
      <c r="AY89">
        <v>0.21955054700000001</v>
      </c>
      <c r="AZ89">
        <v>0</v>
      </c>
      <c r="BA89">
        <v>0.53507341200000003</v>
      </c>
      <c r="BB89">
        <v>12</v>
      </c>
      <c r="BC89">
        <v>0</v>
      </c>
      <c r="BD89">
        <v>0.53507341200000003</v>
      </c>
      <c r="BE89">
        <v>12</v>
      </c>
      <c r="BF89">
        <v>0</v>
      </c>
      <c r="BG89">
        <v>0.53507341200000003</v>
      </c>
      <c r="BH89">
        <v>12</v>
      </c>
      <c r="BI89">
        <v>0</v>
      </c>
      <c r="BJ89">
        <v>0.53507341200000003</v>
      </c>
      <c r="BK89">
        <v>12</v>
      </c>
      <c r="BL89">
        <v>1.1667168E-2</v>
      </c>
      <c r="BM89">
        <v>0.66099838300000002</v>
      </c>
      <c r="BN89">
        <v>33</v>
      </c>
      <c r="BO89">
        <v>28.41</v>
      </c>
      <c r="BP89">
        <v>1.1667168E-2</v>
      </c>
      <c r="BQ89">
        <v>5</v>
      </c>
      <c r="BR89" s="260">
        <v>0</v>
      </c>
      <c r="BS89">
        <v>0</v>
      </c>
      <c r="BT89">
        <v>0.66099838300000002</v>
      </c>
      <c r="BU89">
        <v>33</v>
      </c>
      <c r="BV89">
        <v>1</v>
      </c>
      <c r="BW89">
        <v>1</v>
      </c>
      <c r="BX89">
        <v>37</v>
      </c>
      <c r="BY89">
        <v>0</v>
      </c>
      <c r="BZ89">
        <v>0.999999999999999</v>
      </c>
      <c r="CA89">
        <v>37</v>
      </c>
      <c r="CB89">
        <v>0</v>
      </c>
      <c r="CC89">
        <v>0.999999999999999</v>
      </c>
      <c r="CD89">
        <v>37</v>
      </c>
      <c r="CE89">
        <v>0</v>
      </c>
      <c r="CF89">
        <v>0.35267579791529402</v>
      </c>
      <c r="CG89">
        <v>17</v>
      </c>
      <c r="CH89">
        <v>0</v>
      </c>
      <c r="CI89">
        <v>1</v>
      </c>
      <c r="CJ89">
        <v>37</v>
      </c>
      <c r="CK89">
        <v>48.306173289999997</v>
      </c>
      <c r="CL89">
        <v>0.53507341200000003</v>
      </c>
      <c r="CM89">
        <v>12</v>
      </c>
      <c r="CN89">
        <v>0.34100862999999998</v>
      </c>
      <c r="CO89">
        <v>0.35267579799999998</v>
      </c>
      <c r="CP89">
        <v>17</v>
      </c>
      <c r="CQ89">
        <v>0</v>
      </c>
      <c r="CR89">
        <v>0.35267579799999998</v>
      </c>
      <c r="CS89">
        <v>17</v>
      </c>
      <c r="CT89">
        <v>0</v>
      </c>
      <c r="CU89">
        <v>0.35267579799999998</v>
      </c>
      <c r="CV89">
        <v>17</v>
      </c>
      <c r="CW89">
        <v>4.1668479999999999E-3</v>
      </c>
      <c r="CX89">
        <v>1.1667168E-2</v>
      </c>
      <c r="CY89">
        <v>5</v>
      </c>
      <c r="CZ89">
        <v>342</v>
      </c>
      <c r="DA89">
        <v>1.1667168E-2</v>
      </c>
      <c r="DB89">
        <v>5</v>
      </c>
      <c r="DC89">
        <v>80.183995850000002</v>
      </c>
      <c r="DD89">
        <v>0.53507341200000003</v>
      </c>
      <c r="DE89">
        <v>12</v>
      </c>
      <c r="DF89" s="171" t="s">
        <v>145</v>
      </c>
      <c r="DG89" s="171" t="s">
        <v>445</v>
      </c>
    </row>
    <row r="90" spans="2:111" x14ac:dyDescent="0.35">
      <c r="B90" s="171" t="str">
        <f t="shared" si="1"/>
        <v>iBoxx Asia Green Bonds Unconstrained45596</v>
      </c>
      <c r="C90">
        <v>11825</v>
      </c>
      <c r="D90" t="s">
        <v>491</v>
      </c>
      <c r="E90" t="s">
        <v>148</v>
      </c>
      <c r="F90" s="26">
        <v>45596</v>
      </c>
      <c r="G90">
        <v>55</v>
      </c>
      <c r="H90">
        <v>9</v>
      </c>
      <c r="I90">
        <v>46</v>
      </c>
      <c r="J90" s="27">
        <v>0.41657532400000002</v>
      </c>
      <c r="K90" s="27">
        <v>0.58342467600000003</v>
      </c>
      <c r="L90" t="s">
        <v>451</v>
      </c>
      <c r="M90" s="32">
        <v>44.789375960000001</v>
      </c>
      <c r="N90" s="27">
        <v>0.84301393700000005</v>
      </c>
      <c r="O90" s="133">
        <v>32</v>
      </c>
      <c r="P90" s="32">
        <v>39.576992879999999</v>
      </c>
      <c r="Q90">
        <v>0.59154968600000002</v>
      </c>
      <c r="R90">
        <v>25</v>
      </c>
      <c r="S90">
        <v>56.261615679999998</v>
      </c>
      <c r="T90">
        <v>0.59154968600000002</v>
      </c>
      <c r="U90">
        <v>25</v>
      </c>
      <c r="V90">
        <v>59.964419130000003</v>
      </c>
      <c r="W90">
        <v>0.59154968600000002</v>
      </c>
      <c r="X90">
        <v>25</v>
      </c>
      <c r="Y90">
        <v>52.461270140000003</v>
      </c>
      <c r="Z90">
        <v>0.186936624</v>
      </c>
      <c r="AA90">
        <v>6</v>
      </c>
      <c r="AB90">
        <v>51.37986094</v>
      </c>
      <c r="AC90">
        <v>0.56419533099999997</v>
      </c>
      <c r="AD90">
        <v>16</v>
      </c>
      <c r="AE90" s="234" t="s">
        <v>460</v>
      </c>
      <c r="AF90">
        <v>0</v>
      </c>
      <c r="AG90">
        <v>0</v>
      </c>
      <c r="AH90" s="234" t="s">
        <v>460</v>
      </c>
      <c r="AI90">
        <v>0</v>
      </c>
      <c r="AJ90">
        <v>0</v>
      </c>
      <c r="AK90">
        <v>67.472513210000002</v>
      </c>
      <c r="AL90">
        <v>0.56419533099999997</v>
      </c>
      <c r="AM90">
        <v>16</v>
      </c>
      <c r="AN90">
        <v>71.788103629999995</v>
      </c>
      <c r="AO90">
        <v>0.56419533099999997</v>
      </c>
      <c r="AP90">
        <v>16</v>
      </c>
      <c r="AQ90">
        <v>483.13283799999999</v>
      </c>
      <c r="AR90">
        <v>0.56419533099999997</v>
      </c>
      <c r="AS90">
        <v>16</v>
      </c>
      <c r="AT90">
        <v>0</v>
      </c>
      <c r="AU90">
        <v>0.583876116</v>
      </c>
      <c r="AV90">
        <v>5.8040548999999997E-2</v>
      </c>
      <c r="AW90">
        <v>0.128896075</v>
      </c>
      <c r="AX90">
        <v>0</v>
      </c>
      <c r="AY90">
        <v>0.229187261</v>
      </c>
      <c r="AZ90">
        <v>0</v>
      </c>
      <c r="BA90">
        <v>0.56419533099999997</v>
      </c>
      <c r="BB90">
        <v>16</v>
      </c>
      <c r="BC90">
        <v>0</v>
      </c>
      <c r="BD90">
        <v>0.56419533099999997</v>
      </c>
      <c r="BE90">
        <v>16</v>
      </c>
      <c r="BF90">
        <v>0</v>
      </c>
      <c r="BG90">
        <v>0.56419533099999997</v>
      </c>
      <c r="BH90">
        <v>16</v>
      </c>
      <c r="BI90">
        <v>0</v>
      </c>
      <c r="BJ90">
        <v>0.56419533099999997</v>
      </c>
      <c r="BK90">
        <v>16</v>
      </c>
      <c r="BL90">
        <v>7.2050702999999994E-2</v>
      </c>
      <c r="BM90">
        <v>0.58342467600000003</v>
      </c>
      <c r="BN90">
        <v>46</v>
      </c>
      <c r="BO90">
        <v>28.41</v>
      </c>
      <c r="BP90">
        <v>9.7496430000000005E-3</v>
      </c>
      <c r="BQ90">
        <v>5</v>
      </c>
      <c r="BR90" s="260">
        <v>0</v>
      </c>
      <c r="BS90">
        <v>0</v>
      </c>
      <c r="BT90">
        <v>0.58342467600000003</v>
      </c>
      <c r="BU90">
        <v>46</v>
      </c>
      <c r="BV90">
        <v>1</v>
      </c>
      <c r="BW90">
        <v>1</v>
      </c>
      <c r="BX90">
        <v>55</v>
      </c>
      <c r="BY90">
        <v>0</v>
      </c>
      <c r="BZ90">
        <v>0.999999999999998</v>
      </c>
      <c r="CA90">
        <v>55</v>
      </c>
      <c r="CB90">
        <v>0</v>
      </c>
      <c r="CC90">
        <v>0.999999999999998</v>
      </c>
      <c r="CD90">
        <v>55</v>
      </c>
      <c r="CE90">
        <v>0</v>
      </c>
      <c r="CF90">
        <v>0.27881860513094803</v>
      </c>
      <c r="CG90">
        <v>16</v>
      </c>
      <c r="CH90">
        <v>0</v>
      </c>
      <c r="CI90">
        <v>1</v>
      </c>
      <c r="CJ90">
        <v>55</v>
      </c>
      <c r="CK90">
        <v>48.984601910000002</v>
      </c>
      <c r="CL90">
        <v>0.56419533099999997</v>
      </c>
      <c r="CM90">
        <v>16</v>
      </c>
      <c r="CN90">
        <v>0.26906896200000002</v>
      </c>
      <c r="CO90">
        <v>0.278818605</v>
      </c>
      <c r="CP90">
        <v>16</v>
      </c>
      <c r="CQ90">
        <v>0</v>
      </c>
      <c r="CR90">
        <v>0.278818605</v>
      </c>
      <c r="CS90">
        <v>16</v>
      </c>
      <c r="CT90">
        <v>0</v>
      </c>
      <c r="CU90">
        <v>0.278818605</v>
      </c>
      <c r="CV90">
        <v>16</v>
      </c>
      <c r="CW90">
        <v>3.482017E-3</v>
      </c>
      <c r="CX90">
        <v>9.7496430000000005E-3</v>
      </c>
      <c r="CY90">
        <v>5</v>
      </c>
      <c r="CZ90">
        <v>342</v>
      </c>
      <c r="DA90">
        <v>9.7496430000000005E-3</v>
      </c>
      <c r="DB90">
        <v>5</v>
      </c>
      <c r="DC90">
        <v>72.269047360000002</v>
      </c>
      <c r="DD90">
        <v>0.56419533099999997</v>
      </c>
      <c r="DE90">
        <v>16</v>
      </c>
      <c r="DF90" s="171" t="s">
        <v>149</v>
      </c>
      <c r="DG90" s="171" t="s">
        <v>445</v>
      </c>
    </row>
    <row r="91" spans="2:111" x14ac:dyDescent="0.35">
      <c r="B91" s="171" t="str">
        <f t="shared" si="1"/>
        <v>iBoxx Asia Green Bonds Unconstrained45626</v>
      </c>
      <c r="C91">
        <v>22159</v>
      </c>
      <c r="D91" t="s">
        <v>491</v>
      </c>
      <c r="E91" t="s">
        <v>148</v>
      </c>
      <c r="F91" s="26">
        <v>45626</v>
      </c>
      <c r="G91">
        <v>59</v>
      </c>
      <c r="H91">
        <v>9</v>
      </c>
      <c r="I91">
        <v>50</v>
      </c>
      <c r="J91" s="27">
        <v>0.39788754300000001</v>
      </c>
      <c r="K91" s="27">
        <v>0.60211245700000005</v>
      </c>
      <c r="L91" t="s">
        <v>451</v>
      </c>
      <c r="M91" s="32">
        <v>44.591120429999997</v>
      </c>
      <c r="N91" s="27">
        <v>0.84034253400000003</v>
      </c>
      <c r="O91" s="133">
        <v>34</v>
      </c>
      <c r="P91" s="32">
        <v>39.76943352</v>
      </c>
      <c r="Q91">
        <v>0.58215933399999997</v>
      </c>
      <c r="R91">
        <v>26</v>
      </c>
      <c r="S91">
        <v>56.505471849999999</v>
      </c>
      <c r="T91">
        <v>0.58215933399999997</v>
      </c>
      <c r="U91">
        <v>26</v>
      </c>
      <c r="V91">
        <v>60.19237399</v>
      </c>
      <c r="W91">
        <v>0.58215933399999997</v>
      </c>
      <c r="X91">
        <v>26</v>
      </c>
      <c r="Y91">
        <v>54.046560919999997</v>
      </c>
      <c r="Z91">
        <v>0.180167677</v>
      </c>
      <c r="AA91">
        <v>6</v>
      </c>
      <c r="AB91">
        <v>51.364126560000003</v>
      </c>
      <c r="AC91">
        <v>0.555980162</v>
      </c>
      <c r="AD91">
        <v>17</v>
      </c>
      <c r="AE91" s="234" t="s">
        <v>460</v>
      </c>
      <c r="AF91">
        <v>0</v>
      </c>
      <c r="AG91">
        <v>0</v>
      </c>
      <c r="AH91" s="234" t="s">
        <v>460</v>
      </c>
      <c r="AI91">
        <v>0</v>
      </c>
      <c r="AJ91">
        <v>0</v>
      </c>
      <c r="AK91">
        <v>67.736060269999996</v>
      </c>
      <c r="AL91">
        <v>0.555980162</v>
      </c>
      <c r="AM91">
        <v>17</v>
      </c>
      <c r="AN91">
        <v>72.009721999999996</v>
      </c>
      <c r="AO91">
        <v>0.555980162</v>
      </c>
      <c r="AP91">
        <v>17</v>
      </c>
      <c r="AQ91">
        <v>475.92457100000001</v>
      </c>
      <c r="AR91">
        <v>0.555980162</v>
      </c>
      <c r="AS91">
        <v>17</v>
      </c>
      <c r="AT91">
        <v>0</v>
      </c>
      <c r="AU91">
        <v>0.57365910099999995</v>
      </c>
      <c r="AV91">
        <v>5.5617018999999997E-2</v>
      </c>
      <c r="AW91">
        <v>0.12455065799999999</v>
      </c>
      <c r="AX91">
        <v>0</v>
      </c>
      <c r="AY91">
        <v>0.246173222</v>
      </c>
      <c r="AZ91">
        <v>0</v>
      </c>
      <c r="BA91">
        <v>0.555980162</v>
      </c>
      <c r="BB91">
        <v>17</v>
      </c>
      <c r="BC91">
        <v>0</v>
      </c>
      <c r="BD91">
        <v>0.555980162</v>
      </c>
      <c r="BE91">
        <v>17</v>
      </c>
      <c r="BF91">
        <v>0</v>
      </c>
      <c r="BG91">
        <v>0.555980162</v>
      </c>
      <c r="BH91">
        <v>17</v>
      </c>
      <c r="BI91">
        <v>0</v>
      </c>
      <c r="BJ91">
        <v>0.555980162</v>
      </c>
      <c r="BK91">
        <v>17</v>
      </c>
      <c r="BL91">
        <v>7.8556926999999999E-2</v>
      </c>
      <c r="BM91">
        <v>0.60211245700000005</v>
      </c>
      <c r="BN91">
        <v>50</v>
      </c>
      <c r="BO91">
        <v>28.41</v>
      </c>
      <c r="BP91">
        <v>9.4072340000000004E-3</v>
      </c>
      <c r="BQ91">
        <v>5</v>
      </c>
      <c r="BR91" s="260">
        <v>0</v>
      </c>
      <c r="BS91">
        <v>0</v>
      </c>
      <c r="BT91">
        <v>0.60211245700000005</v>
      </c>
      <c r="BU91">
        <v>50</v>
      </c>
      <c r="BV91">
        <v>1</v>
      </c>
      <c r="BW91">
        <v>1</v>
      </c>
      <c r="BX91">
        <v>59</v>
      </c>
      <c r="BY91">
        <v>0</v>
      </c>
      <c r="BZ91">
        <v>0.999999999999997</v>
      </c>
      <c r="CA91">
        <v>59</v>
      </c>
      <c r="CB91">
        <v>0</v>
      </c>
      <c r="CC91">
        <v>0.999999999999997</v>
      </c>
      <c r="CD91">
        <v>59</v>
      </c>
      <c r="CE91">
        <v>0</v>
      </c>
      <c r="CF91">
        <v>0.284362371725216</v>
      </c>
      <c r="CG91">
        <v>17</v>
      </c>
      <c r="CH91">
        <v>0</v>
      </c>
      <c r="CI91">
        <v>1</v>
      </c>
      <c r="CJ91">
        <v>59</v>
      </c>
      <c r="CK91">
        <v>48.912158429999998</v>
      </c>
      <c r="CL91">
        <v>0.555980162</v>
      </c>
      <c r="CM91">
        <v>17</v>
      </c>
      <c r="CN91">
        <v>0.27495513799999999</v>
      </c>
      <c r="CO91">
        <v>0.28436237199999997</v>
      </c>
      <c r="CP91">
        <v>17</v>
      </c>
      <c r="CQ91">
        <v>0</v>
      </c>
      <c r="CR91">
        <v>0.28436237199999997</v>
      </c>
      <c r="CS91">
        <v>17</v>
      </c>
      <c r="CT91">
        <v>0</v>
      </c>
      <c r="CU91">
        <v>0.28436237199999997</v>
      </c>
      <c r="CV91">
        <v>17</v>
      </c>
      <c r="CW91">
        <v>3.3597280000000002E-3</v>
      </c>
      <c r="CX91">
        <v>9.4072340000000004E-3</v>
      </c>
      <c r="CY91">
        <v>5</v>
      </c>
      <c r="CZ91">
        <v>342</v>
      </c>
      <c r="DA91">
        <v>9.4072340000000004E-3</v>
      </c>
      <c r="DB91">
        <v>5</v>
      </c>
      <c r="DC91">
        <v>72.56328474</v>
      </c>
      <c r="DD91">
        <v>0.555980162</v>
      </c>
      <c r="DE91">
        <v>17</v>
      </c>
      <c r="DF91" s="171" t="s">
        <v>149</v>
      </c>
      <c r="DG91" s="171" t="s">
        <v>445</v>
      </c>
    </row>
    <row r="92" spans="2:111" x14ac:dyDescent="0.35">
      <c r="B92" s="171" t="str">
        <f t="shared" si="1"/>
        <v>iBoxx ChinaBond Global Non-Sovereigns China Investment Grade Screened45596</v>
      </c>
      <c r="C92">
        <v>48047</v>
      </c>
      <c r="D92" t="s">
        <v>492</v>
      </c>
      <c r="E92" t="s">
        <v>150</v>
      </c>
      <c r="F92" s="26">
        <v>45596</v>
      </c>
      <c r="G92">
        <v>248</v>
      </c>
      <c r="H92">
        <v>0</v>
      </c>
      <c r="I92">
        <v>248</v>
      </c>
      <c r="J92" s="27">
        <v>0</v>
      </c>
      <c r="K92" s="27">
        <v>1</v>
      </c>
      <c r="L92" t="s">
        <v>444</v>
      </c>
      <c r="M92" s="32">
        <v>29.247804519999999</v>
      </c>
      <c r="N92" s="27">
        <v>0.84419140999999998</v>
      </c>
      <c r="O92" s="133">
        <v>228</v>
      </c>
      <c r="P92" s="32">
        <v>5.1826760409999997</v>
      </c>
      <c r="Q92">
        <v>0.654245348</v>
      </c>
      <c r="R92">
        <v>171</v>
      </c>
      <c r="S92">
        <v>13.00223982</v>
      </c>
      <c r="T92">
        <v>0.654245348</v>
      </c>
      <c r="U92">
        <v>171</v>
      </c>
      <c r="V92">
        <v>12.08513842</v>
      </c>
      <c r="W92">
        <v>0.654245348</v>
      </c>
      <c r="X92">
        <v>171</v>
      </c>
      <c r="Y92">
        <v>0</v>
      </c>
      <c r="Z92"/>
      <c r="AA92"/>
      <c r="AB92">
        <v>0</v>
      </c>
      <c r="AC92"/>
      <c r="AD92"/>
      <c r="AE92" s="234" t="s">
        <v>460</v>
      </c>
      <c r="AF92">
        <v>0</v>
      </c>
      <c r="AG92">
        <v>0</v>
      </c>
      <c r="AH92">
        <v>7.9497408000000006E-2</v>
      </c>
      <c r="AI92">
        <v>1.7520582E-2</v>
      </c>
      <c r="AJ92">
        <v>14</v>
      </c>
      <c r="AK92">
        <v>0</v>
      </c>
      <c r="AL92"/>
      <c r="AM92"/>
      <c r="AN92">
        <v>0</v>
      </c>
      <c r="AO92"/>
      <c r="AP92"/>
      <c r="AQ92">
        <v>0</v>
      </c>
      <c r="AR92"/>
      <c r="AS92"/>
      <c r="AT92">
        <v>6.3191400000000002E-4</v>
      </c>
      <c r="AU92">
        <v>0.187357627</v>
      </c>
      <c r="AV92">
        <v>0.32086387599999999</v>
      </c>
      <c r="AW92">
        <v>0.32640387100000001</v>
      </c>
      <c r="AX92">
        <v>0.10174034999999999</v>
      </c>
      <c r="AY92">
        <v>6.3002362000000006E-2</v>
      </c>
      <c r="AZ92"/>
      <c r="BA92"/>
      <c r="BB92"/>
      <c r="BC92"/>
      <c r="BD92"/>
      <c r="BE92"/>
      <c r="BF92"/>
      <c r="BG92"/>
      <c r="BH92"/>
      <c r="BI92"/>
      <c r="BJ92"/>
      <c r="BK92"/>
      <c r="BL92">
        <v>0.147419208</v>
      </c>
      <c r="BM92">
        <v>1</v>
      </c>
      <c r="BN92">
        <v>248</v>
      </c>
      <c r="BO92">
        <v>99.030527289999995</v>
      </c>
      <c r="BP92">
        <v>0.65622502800000004</v>
      </c>
      <c r="BQ92">
        <v>179</v>
      </c>
      <c r="BR92">
        <v>0.177802188</v>
      </c>
      <c r="BS92">
        <v>2.8273109000000001E-2</v>
      </c>
      <c r="BT92">
        <v>1</v>
      </c>
      <c r="BU92">
        <v>248</v>
      </c>
      <c r="BV92">
        <v>2.3019366999999999E-2</v>
      </c>
      <c r="BW92">
        <v>2.3019366999999999E-2</v>
      </c>
      <c r="BX92">
        <v>22</v>
      </c>
      <c r="BY92">
        <v>0</v>
      </c>
      <c r="BZ92">
        <v>0.99999999999996603</v>
      </c>
      <c r="CA92">
        <v>248</v>
      </c>
      <c r="CB92">
        <v>0</v>
      </c>
      <c r="CC92">
        <v>0.99999999999996603</v>
      </c>
      <c r="CD92">
        <v>248</v>
      </c>
      <c r="CE92">
        <v>0</v>
      </c>
      <c r="CF92">
        <v>0.84493041457437401</v>
      </c>
      <c r="CG92">
        <v>229</v>
      </c>
      <c r="CH92">
        <v>0</v>
      </c>
      <c r="CI92">
        <v>1</v>
      </c>
      <c r="CJ92">
        <v>248</v>
      </c>
      <c r="CK92">
        <v>0</v>
      </c>
      <c r="CL92"/>
      <c r="CM92"/>
      <c r="CN92">
        <v>0.77577761599999995</v>
      </c>
      <c r="CO92">
        <v>0.84493041499999999</v>
      </c>
      <c r="CP92">
        <v>229</v>
      </c>
      <c r="CQ92">
        <v>13</v>
      </c>
      <c r="CR92">
        <v>0.84493041499999999</v>
      </c>
      <c r="CS92">
        <v>229</v>
      </c>
      <c r="CT92">
        <v>1737300.84</v>
      </c>
      <c r="CU92">
        <v>0.84493041499999999</v>
      </c>
      <c r="CV92">
        <v>229</v>
      </c>
      <c r="CW92">
        <v>0.118193064</v>
      </c>
      <c r="CX92">
        <v>0.655186037</v>
      </c>
      <c r="CY92">
        <v>176</v>
      </c>
      <c r="CZ92">
        <v>13670.3</v>
      </c>
      <c r="DA92">
        <v>0.65822742700000003</v>
      </c>
      <c r="DB92">
        <v>179</v>
      </c>
      <c r="DC92">
        <v>0</v>
      </c>
      <c r="DD92"/>
      <c r="DE92"/>
      <c r="DF92" s="171" t="s">
        <v>151</v>
      </c>
      <c r="DG92" s="171" t="s">
        <v>445</v>
      </c>
    </row>
    <row r="93" spans="2:111" x14ac:dyDescent="0.35">
      <c r="B93" s="171" t="str">
        <f t="shared" si="1"/>
        <v>iBoxx ChinaBond Global Non-Sovereigns China Investment Grade Screened45626</v>
      </c>
      <c r="C93">
        <v>48149</v>
      </c>
      <c r="D93" t="s">
        <v>492</v>
      </c>
      <c r="E93" t="s">
        <v>150</v>
      </c>
      <c r="F93" s="26">
        <v>45626</v>
      </c>
      <c r="G93">
        <v>243</v>
      </c>
      <c r="H93">
        <v>0</v>
      </c>
      <c r="I93">
        <v>243</v>
      </c>
      <c r="J93" s="27">
        <v>0</v>
      </c>
      <c r="K93" s="27">
        <v>1</v>
      </c>
      <c r="L93" t="s">
        <v>444</v>
      </c>
      <c r="M93" s="32">
        <v>29.192244590000001</v>
      </c>
      <c r="N93" s="27">
        <v>0.85836162599999999</v>
      </c>
      <c r="O93" s="133">
        <v>224</v>
      </c>
      <c r="P93" s="32">
        <v>5.147493538</v>
      </c>
      <c r="Q93">
        <v>0.671583292</v>
      </c>
      <c r="R93">
        <v>172</v>
      </c>
      <c r="S93">
        <v>12.986839959999999</v>
      </c>
      <c r="T93">
        <v>0.671583292</v>
      </c>
      <c r="U93">
        <v>172</v>
      </c>
      <c r="V93">
        <v>12.021270019999999</v>
      </c>
      <c r="W93">
        <v>0.671583292</v>
      </c>
      <c r="X93">
        <v>172</v>
      </c>
      <c r="Y93">
        <v>0</v>
      </c>
      <c r="Z93"/>
      <c r="AA93"/>
      <c r="AB93">
        <v>0</v>
      </c>
      <c r="AC93"/>
      <c r="AD93"/>
      <c r="AE93" s="234" t="s">
        <v>460</v>
      </c>
      <c r="AF93">
        <v>0</v>
      </c>
      <c r="AG93">
        <v>0</v>
      </c>
      <c r="AH93">
        <v>7.9656869000000005E-2</v>
      </c>
      <c r="AI93">
        <v>1.8224308000000002E-2</v>
      </c>
      <c r="AJ93">
        <v>14</v>
      </c>
      <c r="AK93">
        <v>0</v>
      </c>
      <c r="AL93"/>
      <c r="AM93"/>
      <c r="AN93">
        <v>0</v>
      </c>
      <c r="AO93"/>
      <c r="AP93"/>
      <c r="AQ93">
        <v>0</v>
      </c>
      <c r="AR93"/>
      <c r="AS93"/>
      <c r="AT93">
        <v>6.4847500000000003E-4</v>
      </c>
      <c r="AU93">
        <v>0.1875965</v>
      </c>
      <c r="AV93">
        <v>0.33850835600000001</v>
      </c>
      <c r="AW93">
        <v>0.31791966199999999</v>
      </c>
      <c r="AX93">
        <v>0.10428226</v>
      </c>
      <c r="AY93">
        <v>5.1044747000000001E-2</v>
      </c>
      <c r="AZ93"/>
      <c r="BA93"/>
      <c r="BB93"/>
      <c r="BC93"/>
      <c r="BD93"/>
      <c r="BE93"/>
      <c r="BF93"/>
      <c r="BG93"/>
      <c r="BH93"/>
      <c r="BI93"/>
      <c r="BJ93"/>
      <c r="BK93"/>
      <c r="BL93">
        <v>0.15531510400000001</v>
      </c>
      <c r="BM93">
        <v>1</v>
      </c>
      <c r="BN93">
        <v>243</v>
      </c>
      <c r="BO93">
        <v>98.100114289999993</v>
      </c>
      <c r="BP93">
        <v>0.67165910399999995</v>
      </c>
      <c r="BQ93">
        <v>178</v>
      </c>
      <c r="BR93">
        <v>0.18241132500000001</v>
      </c>
      <c r="BS93">
        <v>2.9435262E-2</v>
      </c>
      <c r="BT93">
        <v>1</v>
      </c>
      <c r="BU93">
        <v>243</v>
      </c>
      <c r="BV93">
        <v>2.2978853E-2</v>
      </c>
      <c r="BW93">
        <v>2.2978853E-2</v>
      </c>
      <c r="BX93">
        <v>21</v>
      </c>
      <c r="BY93">
        <v>0</v>
      </c>
      <c r="BZ93">
        <v>0.99999999999996403</v>
      </c>
      <c r="CA93">
        <v>243</v>
      </c>
      <c r="CB93">
        <v>0</v>
      </c>
      <c r="CC93">
        <v>0.99999999999996403</v>
      </c>
      <c r="CD93">
        <v>243</v>
      </c>
      <c r="CE93">
        <v>0</v>
      </c>
      <c r="CF93">
        <v>0.85913771750468404</v>
      </c>
      <c r="CG93">
        <v>225</v>
      </c>
      <c r="CH93">
        <v>0</v>
      </c>
      <c r="CI93">
        <v>1</v>
      </c>
      <c r="CJ93">
        <v>243</v>
      </c>
      <c r="CK93">
        <v>0</v>
      </c>
      <c r="CL93"/>
      <c r="CM93"/>
      <c r="CN93">
        <v>0.78643661300000001</v>
      </c>
      <c r="CO93">
        <v>0.85913771800000005</v>
      </c>
      <c r="CP93">
        <v>225</v>
      </c>
      <c r="CQ93">
        <v>12</v>
      </c>
      <c r="CR93">
        <v>0.85913771800000005</v>
      </c>
      <c r="CS93">
        <v>225</v>
      </c>
      <c r="CT93">
        <v>1737300.84</v>
      </c>
      <c r="CU93">
        <v>0.85913771800000005</v>
      </c>
      <c r="CV93">
        <v>225</v>
      </c>
      <c r="CW93">
        <v>0.123722649</v>
      </c>
      <c r="CX93">
        <v>0.67055678299999999</v>
      </c>
      <c r="CY93">
        <v>175</v>
      </c>
      <c r="CZ93">
        <v>13886.6</v>
      </c>
      <c r="DA93">
        <v>0.673733692</v>
      </c>
      <c r="DB93">
        <v>178</v>
      </c>
      <c r="DC93">
        <v>0</v>
      </c>
      <c r="DD93"/>
      <c r="DE93"/>
      <c r="DF93" s="171" t="s">
        <v>151</v>
      </c>
      <c r="DG93" s="171" t="s">
        <v>445</v>
      </c>
    </row>
    <row r="94" spans="2:111" x14ac:dyDescent="0.35">
      <c r="B94" s="171" t="str">
        <f t="shared" si="1"/>
        <v>iBoxx EUR Social Bonds Investment Grade (10% Issuer Cap)45596</v>
      </c>
      <c r="C94">
        <v>49886</v>
      </c>
      <c r="D94" t="s">
        <v>493</v>
      </c>
      <c r="E94" t="s">
        <v>174</v>
      </c>
      <c r="F94" s="26">
        <v>45596</v>
      </c>
      <c r="G94">
        <v>228</v>
      </c>
      <c r="H94">
        <v>5</v>
      </c>
      <c r="I94">
        <v>223</v>
      </c>
      <c r="J94" s="27">
        <v>2.4162162000000001E-2</v>
      </c>
      <c r="K94" s="27">
        <v>0.97583783800000001</v>
      </c>
      <c r="L94" t="s">
        <v>451</v>
      </c>
      <c r="M94" s="32">
        <v>25.65537497</v>
      </c>
      <c r="N94" s="27">
        <v>0.62753410200000004</v>
      </c>
      <c r="O94" s="133">
        <v>150</v>
      </c>
      <c r="P94" s="32">
        <v>16.856856069999999</v>
      </c>
      <c r="Q94">
        <v>0.60578848600000001</v>
      </c>
      <c r="R94">
        <v>145</v>
      </c>
      <c r="S94">
        <v>20.41477845</v>
      </c>
      <c r="T94">
        <v>0.60578848600000001</v>
      </c>
      <c r="U94">
        <v>145</v>
      </c>
      <c r="V94">
        <v>20.92541683</v>
      </c>
      <c r="W94">
        <v>0.60578848600000001</v>
      </c>
      <c r="X94">
        <v>145</v>
      </c>
      <c r="Y94">
        <v>61.52861317</v>
      </c>
      <c r="Z94">
        <v>0.146702994</v>
      </c>
      <c r="AA94">
        <v>28</v>
      </c>
      <c r="AB94">
        <v>70.285164620000003</v>
      </c>
      <c r="AC94">
        <v>0.146702994</v>
      </c>
      <c r="AD94">
        <v>28</v>
      </c>
      <c r="AE94">
        <v>0.2131228479</v>
      </c>
      <c r="AF94">
        <v>1.125953E-2</v>
      </c>
      <c r="AG94">
        <v>3</v>
      </c>
      <c r="AH94">
        <v>0.406831526</v>
      </c>
      <c r="AI94">
        <v>7.8271929999999997E-3</v>
      </c>
      <c r="AJ94">
        <v>3</v>
      </c>
      <c r="AK94">
        <v>58.981276059999999</v>
      </c>
      <c r="AL94">
        <v>0.146702994</v>
      </c>
      <c r="AM94">
        <v>28</v>
      </c>
      <c r="AN94">
        <v>70.140623079999997</v>
      </c>
      <c r="AO94">
        <v>0.146702994</v>
      </c>
      <c r="AP94">
        <v>28</v>
      </c>
      <c r="AQ94">
        <v>219.943085</v>
      </c>
      <c r="AR94">
        <v>0.146702994</v>
      </c>
      <c r="AS94">
        <v>28</v>
      </c>
      <c r="AT94">
        <v>0.27500360200000001</v>
      </c>
      <c r="AU94">
        <v>0.27064207000000001</v>
      </c>
      <c r="AV94">
        <v>0.20560988499999999</v>
      </c>
      <c r="AW94">
        <v>0</v>
      </c>
      <c r="AX94">
        <v>0</v>
      </c>
      <c r="AY94">
        <v>0.24874444300000001</v>
      </c>
      <c r="AZ94"/>
      <c r="BA94">
        <v>0.146702994</v>
      </c>
      <c r="BB94">
        <v>28</v>
      </c>
      <c r="BC94">
        <v>0</v>
      </c>
      <c r="BD94">
        <v>0.146702994</v>
      </c>
      <c r="BE94">
        <v>28</v>
      </c>
      <c r="BF94">
        <v>0</v>
      </c>
      <c r="BG94">
        <v>0.146702994</v>
      </c>
      <c r="BH94">
        <v>28</v>
      </c>
      <c r="BI94"/>
      <c r="BJ94">
        <v>0.146702994</v>
      </c>
      <c r="BK94">
        <v>28</v>
      </c>
      <c r="BL94">
        <v>4.7346956000000003E-2</v>
      </c>
      <c r="BM94">
        <v>0.97583783800000001</v>
      </c>
      <c r="BN94">
        <v>223</v>
      </c>
      <c r="BO94">
        <v>4.0674962050000003</v>
      </c>
      <c r="BP94">
        <v>0.16061614699999999</v>
      </c>
      <c r="BQ94">
        <v>41</v>
      </c>
      <c r="BR94">
        <v>2.5471629999999999E-3</v>
      </c>
      <c r="BS94">
        <v>0</v>
      </c>
      <c r="BT94">
        <v>0.97583783800000001</v>
      </c>
      <c r="BU94">
        <v>223</v>
      </c>
      <c r="BV94">
        <v>0</v>
      </c>
      <c r="BW94" s="234" t="s">
        <v>460</v>
      </c>
      <c r="BX94" s="234" t="s">
        <v>460</v>
      </c>
      <c r="BY94">
        <v>0</v>
      </c>
      <c r="BZ94">
        <v>0.99999999999999001</v>
      </c>
      <c r="CA94">
        <v>228</v>
      </c>
      <c r="CB94">
        <v>0</v>
      </c>
      <c r="CC94">
        <v>0.99999999999999001</v>
      </c>
      <c r="CD94">
        <v>228</v>
      </c>
      <c r="CE94">
        <v>0</v>
      </c>
      <c r="CF94">
        <v>0.480831107630176</v>
      </c>
      <c r="CG94">
        <v>122</v>
      </c>
      <c r="CH94">
        <v>0</v>
      </c>
      <c r="CI94">
        <v>1</v>
      </c>
      <c r="CJ94">
        <v>228</v>
      </c>
      <c r="CK94">
        <v>64.112888479999995</v>
      </c>
      <c r="CL94">
        <v>0.146702994</v>
      </c>
      <c r="CM94">
        <v>28</v>
      </c>
      <c r="CN94">
        <v>0.26174462500000001</v>
      </c>
      <c r="CO94">
        <v>0.48083110800000001</v>
      </c>
      <c r="CP94">
        <v>122</v>
      </c>
      <c r="CQ94">
        <v>4</v>
      </c>
      <c r="CR94">
        <v>0.48083110800000001</v>
      </c>
      <c r="CS94">
        <v>122</v>
      </c>
      <c r="CT94">
        <v>4947.83</v>
      </c>
      <c r="CU94">
        <v>0.48083110800000001</v>
      </c>
      <c r="CV94">
        <v>122</v>
      </c>
      <c r="CW94">
        <v>0.120229593</v>
      </c>
      <c r="CX94">
        <v>0.16061614699999999</v>
      </c>
      <c r="CY94">
        <v>41</v>
      </c>
      <c r="CZ94">
        <v>2563.5</v>
      </c>
      <c r="DA94">
        <v>0.16061614699999999</v>
      </c>
      <c r="DB94">
        <v>41</v>
      </c>
      <c r="DC94">
        <v>71.000535510000006</v>
      </c>
      <c r="DD94">
        <v>0.146702994</v>
      </c>
      <c r="DE94">
        <v>28</v>
      </c>
      <c r="DF94" s="171" t="s">
        <v>175</v>
      </c>
      <c r="DG94" s="171" t="s">
        <v>445</v>
      </c>
    </row>
    <row r="95" spans="2:111" x14ac:dyDescent="0.35">
      <c r="B95" s="171" t="str">
        <f t="shared" si="1"/>
        <v>iBoxx EUR Social Bonds Investment Grade (10% Issuer Cap)45626</v>
      </c>
      <c r="C95">
        <v>99150</v>
      </c>
      <c r="D95" t="s">
        <v>493</v>
      </c>
      <c r="E95" t="s">
        <v>174</v>
      </c>
      <c r="F95" s="26">
        <v>45626</v>
      </c>
      <c r="G95">
        <v>228</v>
      </c>
      <c r="H95">
        <v>5</v>
      </c>
      <c r="I95">
        <v>223</v>
      </c>
      <c r="J95" s="27">
        <v>2.3932569000000001E-2</v>
      </c>
      <c r="K95" s="27">
        <v>0.97606743100000004</v>
      </c>
      <c r="L95" t="s">
        <v>451</v>
      </c>
      <c r="M95" s="32">
        <v>25.746762180000001</v>
      </c>
      <c r="N95" s="27">
        <v>0.62682753800000002</v>
      </c>
      <c r="O95" s="133">
        <v>149</v>
      </c>
      <c r="P95" s="32">
        <v>16.935160490000001</v>
      </c>
      <c r="Q95">
        <v>0.60765303299999995</v>
      </c>
      <c r="R95">
        <v>145</v>
      </c>
      <c r="S95">
        <v>20.534632160000001</v>
      </c>
      <c r="T95">
        <v>0.60765303299999995</v>
      </c>
      <c r="U95">
        <v>145</v>
      </c>
      <c r="V95">
        <v>21.043709329999999</v>
      </c>
      <c r="W95">
        <v>0.60765303299999995</v>
      </c>
      <c r="X95">
        <v>145</v>
      </c>
      <c r="Y95">
        <v>62.142230169999998</v>
      </c>
      <c r="Z95">
        <v>0.14842130000000001</v>
      </c>
      <c r="AA95">
        <v>28</v>
      </c>
      <c r="AB95">
        <v>70.345975469999999</v>
      </c>
      <c r="AC95">
        <v>0.14842130000000001</v>
      </c>
      <c r="AD95">
        <v>28</v>
      </c>
      <c r="AE95">
        <v>0.21314732800000002</v>
      </c>
      <c r="AF95">
        <v>1.1223479999999999E-2</v>
      </c>
      <c r="AG95">
        <v>3</v>
      </c>
      <c r="AH95">
        <v>0.40684752200000002</v>
      </c>
      <c r="AI95">
        <v>7.8008629999999999E-3</v>
      </c>
      <c r="AJ95">
        <v>3</v>
      </c>
      <c r="AK95">
        <v>59.05483941</v>
      </c>
      <c r="AL95">
        <v>0.14842130000000001</v>
      </c>
      <c r="AM95">
        <v>28</v>
      </c>
      <c r="AN95">
        <v>70.223207430000002</v>
      </c>
      <c r="AO95">
        <v>0.14842130000000001</v>
      </c>
      <c r="AP95">
        <v>28</v>
      </c>
      <c r="AQ95">
        <v>219.375576</v>
      </c>
      <c r="AR95">
        <v>0.14842130000000001</v>
      </c>
      <c r="AS95">
        <v>28</v>
      </c>
      <c r="AT95">
        <v>0.21073650699999999</v>
      </c>
      <c r="AU95">
        <v>0.33958743400000002</v>
      </c>
      <c r="AV95">
        <v>0.197708782</v>
      </c>
      <c r="AW95">
        <v>0</v>
      </c>
      <c r="AX95">
        <v>0</v>
      </c>
      <c r="AY95">
        <v>0.25196727699999999</v>
      </c>
      <c r="AZ95"/>
      <c r="BA95">
        <v>0.14842130000000001</v>
      </c>
      <c r="BB95">
        <v>28</v>
      </c>
      <c r="BC95">
        <v>0</v>
      </c>
      <c r="BD95">
        <v>0.14842130000000001</v>
      </c>
      <c r="BE95">
        <v>28</v>
      </c>
      <c r="BF95">
        <v>0</v>
      </c>
      <c r="BG95">
        <v>0.14842130000000001</v>
      </c>
      <c r="BH95">
        <v>28</v>
      </c>
      <c r="BI95"/>
      <c r="BJ95">
        <v>0.14842130000000001</v>
      </c>
      <c r="BK95">
        <v>28</v>
      </c>
      <c r="BL95">
        <v>4.7482884000000003E-2</v>
      </c>
      <c r="BM95">
        <v>0.97606743100000004</v>
      </c>
      <c r="BN95">
        <v>223</v>
      </c>
      <c r="BO95">
        <v>4.1302025840000001</v>
      </c>
      <c r="BP95">
        <v>0.156124032</v>
      </c>
      <c r="BQ95">
        <v>40</v>
      </c>
      <c r="BR95">
        <v>2.5304350000000001E-3</v>
      </c>
      <c r="BS95">
        <v>0</v>
      </c>
      <c r="BT95">
        <v>0.97606743100000004</v>
      </c>
      <c r="BU95">
        <v>223</v>
      </c>
      <c r="BV95">
        <v>0</v>
      </c>
      <c r="BW95" s="234" t="s">
        <v>460</v>
      </c>
      <c r="BX95" s="234" t="s">
        <v>460</v>
      </c>
      <c r="BY95">
        <v>0</v>
      </c>
      <c r="BZ95">
        <v>0.99999999999999001</v>
      </c>
      <c r="CA95">
        <v>228</v>
      </c>
      <c r="CB95">
        <v>0</v>
      </c>
      <c r="CC95">
        <v>0.99999999999999001</v>
      </c>
      <c r="CD95">
        <v>228</v>
      </c>
      <c r="CE95">
        <v>0</v>
      </c>
      <c r="CF95">
        <v>0.47840623753763001</v>
      </c>
      <c r="CG95">
        <v>121</v>
      </c>
      <c r="CH95">
        <v>0</v>
      </c>
      <c r="CI95">
        <v>1</v>
      </c>
      <c r="CJ95">
        <v>228</v>
      </c>
      <c r="CK95">
        <v>64.048472140000001</v>
      </c>
      <c r="CL95">
        <v>0.14842130000000001</v>
      </c>
      <c r="CM95">
        <v>28</v>
      </c>
      <c r="CN95">
        <v>0.25892050300000002</v>
      </c>
      <c r="CO95">
        <v>0.47840623799999998</v>
      </c>
      <c r="CP95">
        <v>121</v>
      </c>
      <c r="CQ95">
        <v>4</v>
      </c>
      <c r="CR95">
        <v>0.47840623799999998</v>
      </c>
      <c r="CS95">
        <v>121</v>
      </c>
      <c r="CT95">
        <v>4947.83</v>
      </c>
      <c r="CU95">
        <v>0.47840623799999998</v>
      </c>
      <c r="CV95">
        <v>121</v>
      </c>
      <c r="CW95">
        <v>0.11656248499999999</v>
      </c>
      <c r="CX95">
        <v>0.156124032</v>
      </c>
      <c r="CY95">
        <v>40</v>
      </c>
      <c r="CZ95">
        <v>2493.5</v>
      </c>
      <c r="DA95">
        <v>0.156124032</v>
      </c>
      <c r="DB95">
        <v>40</v>
      </c>
      <c r="DC95">
        <v>71.09072424</v>
      </c>
      <c r="DD95">
        <v>0.14842130000000001</v>
      </c>
      <c r="DE95">
        <v>28</v>
      </c>
      <c r="DF95" s="171" t="s">
        <v>175</v>
      </c>
      <c r="DG95" s="171" t="s">
        <v>445</v>
      </c>
    </row>
    <row r="96" spans="2:111" x14ac:dyDescent="0.35">
      <c r="B96" s="252" t="str">
        <f t="shared" ref="B96:B143" si="2">E96&amp;F96</f>
        <v>iBoxx MSCI USD Senior Corporates Investment Grade ESG Factor Weighted45596</v>
      </c>
      <c r="C96" s="253">
        <v>0</v>
      </c>
      <c r="D96" s="253" t="s">
        <v>494</v>
      </c>
      <c r="E96" s="253" t="s">
        <v>247</v>
      </c>
      <c r="F96" s="254">
        <v>45596</v>
      </c>
      <c r="G96" s="253">
        <v>2984</v>
      </c>
      <c r="H96" s="253">
        <v>0</v>
      </c>
      <c r="I96" s="253">
        <v>2984</v>
      </c>
      <c r="J96" s="255">
        <v>0</v>
      </c>
      <c r="K96" s="255">
        <v>1</v>
      </c>
      <c r="L96" s="253" t="s">
        <v>444</v>
      </c>
      <c r="M96" s="253">
        <v>7.1549466949999996</v>
      </c>
      <c r="N96" s="253">
        <v>1</v>
      </c>
      <c r="O96" s="253">
        <v>2984</v>
      </c>
      <c r="P96" s="253">
        <v>6.61252247</v>
      </c>
      <c r="Q96" s="253">
        <v>1</v>
      </c>
      <c r="R96" s="253">
        <v>2984</v>
      </c>
      <c r="S96" s="253">
        <v>5.192940052</v>
      </c>
      <c r="T96" s="253">
        <v>1</v>
      </c>
      <c r="U96" s="253">
        <v>2984</v>
      </c>
      <c r="V96" s="253">
        <v>6.286421872</v>
      </c>
      <c r="W96" s="253">
        <v>1</v>
      </c>
      <c r="X96" s="253">
        <v>2984</v>
      </c>
      <c r="Y96" s="253">
        <v>0</v>
      </c>
      <c r="Z96" s="253"/>
      <c r="AA96" s="253"/>
      <c r="AB96" s="253">
        <v>0</v>
      </c>
      <c r="AC96" s="253"/>
      <c r="AD96" s="253"/>
      <c r="AE96" s="253">
        <v>0.15367351530000001</v>
      </c>
      <c r="AF96" s="253">
        <v>0.81035009999999996</v>
      </c>
      <c r="AG96" s="253">
        <v>2347</v>
      </c>
      <c r="AH96" s="253">
        <v>4.4385580239999998</v>
      </c>
      <c r="AI96" s="253">
        <v>0.469936768</v>
      </c>
      <c r="AJ96" s="253">
        <v>1202</v>
      </c>
      <c r="AK96" s="253">
        <v>0</v>
      </c>
      <c r="AL96" s="253"/>
      <c r="AM96" s="253"/>
      <c r="AN96" s="253">
        <v>0</v>
      </c>
      <c r="AO96" s="253"/>
      <c r="AP96" s="253"/>
      <c r="AQ96" s="253">
        <v>0</v>
      </c>
      <c r="AR96" s="253"/>
      <c r="AS96" s="253"/>
      <c r="AT96" s="252"/>
      <c r="AU96" s="252"/>
      <c r="AV96" s="252"/>
      <c r="AW96" s="252"/>
      <c r="AX96" s="252"/>
      <c r="AY96" s="252"/>
      <c r="AZ96" s="252"/>
      <c r="BA96" s="252"/>
      <c r="BB96" s="252"/>
      <c r="BC96" s="252"/>
      <c r="BD96" s="252"/>
      <c r="BE96" s="252"/>
      <c r="BF96" s="252"/>
      <c r="BG96" s="252"/>
      <c r="BH96" s="252"/>
      <c r="BI96" s="252"/>
      <c r="BJ96" s="252"/>
      <c r="BK96" s="252"/>
      <c r="BL96" s="253">
        <v>0.59874144500000004</v>
      </c>
      <c r="BM96" s="253">
        <v>1</v>
      </c>
      <c r="BN96" s="253">
        <v>2984</v>
      </c>
      <c r="BO96" s="253">
        <v>54.46310665</v>
      </c>
      <c r="BP96" s="253">
        <v>0.99805766699999998</v>
      </c>
      <c r="BQ96" s="253">
        <v>2982</v>
      </c>
      <c r="BR96" s="253">
        <v>0.82360555400000002</v>
      </c>
      <c r="BS96" s="253">
        <v>6.1387810000000001E-2</v>
      </c>
      <c r="BT96" s="253">
        <v>1</v>
      </c>
      <c r="BU96" s="253">
        <v>2984</v>
      </c>
      <c r="BV96" s="253">
        <v>2.1676549999999999E-2</v>
      </c>
      <c r="BW96" s="253">
        <v>2.1676549999999999E-2</v>
      </c>
      <c r="BX96" s="253">
        <v>78</v>
      </c>
      <c r="BY96" s="253">
        <v>0</v>
      </c>
      <c r="BZ96" s="253">
        <v>1</v>
      </c>
      <c r="CA96" s="253">
        <v>2984</v>
      </c>
      <c r="CB96" s="253">
        <v>6.1012260000000004E-3</v>
      </c>
      <c r="CC96" s="253">
        <v>1</v>
      </c>
      <c r="CD96" s="253">
        <v>2984</v>
      </c>
      <c r="CE96" s="253">
        <v>0</v>
      </c>
      <c r="CF96" s="253">
        <v>1</v>
      </c>
      <c r="CG96" s="253">
        <v>2984</v>
      </c>
      <c r="CH96" s="253"/>
      <c r="CI96" s="253"/>
      <c r="CJ96" s="253"/>
      <c r="CK96" s="253">
        <v>0</v>
      </c>
      <c r="CL96" s="253"/>
      <c r="CM96" s="253"/>
      <c r="CN96" s="253">
        <v>0.39664092299999998</v>
      </c>
      <c r="CO96" s="253">
        <v>1</v>
      </c>
      <c r="CP96" s="253">
        <v>2984</v>
      </c>
      <c r="CQ96" s="253">
        <v>32</v>
      </c>
      <c r="CR96" s="253">
        <v>3.0360532999999999E-2</v>
      </c>
      <c r="CS96" s="253">
        <v>83</v>
      </c>
      <c r="CT96">
        <v>15695949209</v>
      </c>
      <c r="CU96" s="253">
        <v>3.0360532999999999E-2</v>
      </c>
      <c r="CV96" s="253">
        <v>83</v>
      </c>
      <c r="CW96" s="253">
        <v>0.60363846310000002</v>
      </c>
      <c r="CX96" s="253">
        <v>1</v>
      </c>
      <c r="CY96" s="253">
        <v>2984</v>
      </c>
      <c r="CZ96" s="252"/>
      <c r="DA96" s="252"/>
      <c r="DB96" s="252"/>
      <c r="DC96" s="253">
        <v>0</v>
      </c>
      <c r="DD96" s="253"/>
      <c r="DE96" s="253"/>
      <c r="DF96" s="171" t="s">
        <v>248</v>
      </c>
      <c r="DG96" s="252" t="s">
        <v>395</v>
      </c>
    </row>
    <row r="97" spans="2:115" x14ac:dyDescent="0.35">
      <c r="B97" s="252" t="str">
        <f t="shared" si="2"/>
        <v>iBoxx MSCI ESG Advanced USD Liquid Investment Grade45596</v>
      </c>
      <c r="C97" s="253">
        <v>1</v>
      </c>
      <c r="D97" s="253" t="s">
        <v>495</v>
      </c>
      <c r="E97" s="253" t="s">
        <v>204</v>
      </c>
      <c r="F97" s="254">
        <v>45596</v>
      </c>
      <c r="G97" s="253">
        <v>1812</v>
      </c>
      <c r="H97" s="253">
        <v>0</v>
      </c>
      <c r="I97" s="253">
        <v>1812</v>
      </c>
      <c r="J97" s="255">
        <v>0</v>
      </c>
      <c r="K97" s="255">
        <v>1</v>
      </c>
      <c r="L97" s="253" t="s">
        <v>444</v>
      </c>
      <c r="M97" s="253">
        <v>6.8835481209999996</v>
      </c>
      <c r="N97" s="253">
        <v>1</v>
      </c>
      <c r="O97" s="253">
        <v>1812</v>
      </c>
      <c r="P97" s="253">
        <v>7.6769638630000001</v>
      </c>
      <c r="Q97" s="253">
        <v>1</v>
      </c>
      <c r="R97" s="253">
        <v>1812</v>
      </c>
      <c r="S97" s="253">
        <v>4.9914585049999998</v>
      </c>
      <c r="T97" s="253">
        <v>1</v>
      </c>
      <c r="U97" s="253">
        <v>1812</v>
      </c>
      <c r="V97" s="253">
        <v>5.6607957659999997</v>
      </c>
      <c r="W97" s="253">
        <v>1</v>
      </c>
      <c r="X97" s="253">
        <v>1812</v>
      </c>
      <c r="Y97" s="253">
        <v>0</v>
      </c>
      <c r="Z97" s="253"/>
      <c r="AA97" s="253"/>
      <c r="AB97" s="253">
        <v>0</v>
      </c>
      <c r="AC97" s="253"/>
      <c r="AD97" s="253"/>
      <c r="AE97" s="253">
        <v>0.17583879450000001</v>
      </c>
      <c r="AF97" s="253">
        <v>0.82375672600000005</v>
      </c>
      <c r="AG97" s="253">
        <v>1503</v>
      </c>
      <c r="AH97" s="253">
        <v>4.3777231350000001</v>
      </c>
      <c r="AI97" s="253">
        <v>0.36877064399999998</v>
      </c>
      <c r="AJ97" s="253">
        <v>678</v>
      </c>
      <c r="AK97" s="253">
        <v>0</v>
      </c>
      <c r="AL97" s="253"/>
      <c r="AM97" s="253"/>
      <c r="AN97" s="253">
        <v>0</v>
      </c>
      <c r="AO97" s="253"/>
      <c r="AP97" s="253"/>
      <c r="AQ97" s="253">
        <v>0</v>
      </c>
      <c r="AR97" s="253"/>
      <c r="AS97" s="253"/>
      <c r="AT97" s="252"/>
      <c r="AU97" s="252"/>
      <c r="AV97" s="252"/>
      <c r="AW97" s="252"/>
      <c r="AX97" s="252"/>
      <c r="AY97" s="252"/>
      <c r="AZ97" s="252"/>
      <c r="BA97" s="252"/>
      <c r="BB97" s="252"/>
      <c r="BC97" s="252"/>
      <c r="BD97" s="252"/>
      <c r="BE97" s="252"/>
      <c r="BF97" s="252"/>
      <c r="BG97" s="252"/>
      <c r="BH97" s="252"/>
      <c r="BI97" s="252"/>
      <c r="BJ97" s="252"/>
      <c r="BK97" s="252"/>
      <c r="BL97" s="253">
        <v>0.30889064199999999</v>
      </c>
      <c r="BM97" s="253">
        <v>1</v>
      </c>
      <c r="BN97" s="253">
        <v>1812</v>
      </c>
      <c r="BO97" s="253">
        <v>10.07898086</v>
      </c>
      <c r="BP97" s="253">
        <v>1</v>
      </c>
      <c r="BQ97" s="253">
        <v>1812</v>
      </c>
      <c r="BR97" s="253">
        <v>0.88962680699999996</v>
      </c>
      <c r="BS97" s="253">
        <v>9.6003770000000002E-3</v>
      </c>
      <c r="BT97" s="253">
        <v>1</v>
      </c>
      <c r="BU97" s="253">
        <v>1812</v>
      </c>
      <c r="BV97" s="253">
        <v>1.0858E-2</v>
      </c>
      <c r="BW97" s="253">
        <v>1.0858E-2</v>
      </c>
      <c r="BX97" s="253">
        <v>29</v>
      </c>
      <c r="BY97" s="253">
        <v>0</v>
      </c>
      <c r="BZ97" s="253">
        <v>1</v>
      </c>
      <c r="CA97" s="253">
        <v>1812</v>
      </c>
      <c r="CB97" s="253">
        <v>0</v>
      </c>
      <c r="CC97" s="253">
        <v>1</v>
      </c>
      <c r="CD97" s="253">
        <v>1812</v>
      </c>
      <c r="CE97" s="253">
        <v>0</v>
      </c>
      <c r="CF97" s="253">
        <v>1</v>
      </c>
      <c r="CG97" s="253">
        <v>1812</v>
      </c>
      <c r="CH97" s="253"/>
      <c r="CI97" s="253"/>
      <c r="CJ97" s="253"/>
      <c r="CK97" s="253">
        <v>0</v>
      </c>
      <c r="CL97" s="253"/>
      <c r="CM97" s="253"/>
      <c r="CN97" s="253">
        <v>0.471595072</v>
      </c>
      <c r="CO97" s="253">
        <v>1</v>
      </c>
      <c r="CP97" s="253">
        <v>1812</v>
      </c>
      <c r="CQ97" s="253">
        <v>30</v>
      </c>
      <c r="CR97" s="253">
        <v>5.1219046999999997E-2</v>
      </c>
      <c r="CS97" s="253">
        <v>66</v>
      </c>
      <c r="CT97">
        <v>15588261172</v>
      </c>
      <c r="CU97" s="253">
        <v>5.1219046999999997E-2</v>
      </c>
      <c r="CV97" s="253">
        <v>66</v>
      </c>
      <c r="CW97" s="253">
        <v>0.61535398060000002</v>
      </c>
      <c r="CX97" s="253">
        <v>1</v>
      </c>
      <c r="CY97" s="253">
        <v>1812</v>
      </c>
      <c r="CZ97" s="252"/>
      <c r="DA97" s="252"/>
      <c r="DB97" s="252"/>
      <c r="DC97" s="253">
        <v>0</v>
      </c>
      <c r="DD97" s="253"/>
      <c r="DE97" s="253"/>
      <c r="DF97" s="171" t="s">
        <v>205</v>
      </c>
      <c r="DG97" s="252" t="s">
        <v>395</v>
      </c>
    </row>
    <row r="98" spans="2:115" x14ac:dyDescent="0.35">
      <c r="B98" s="252" t="str">
        <f t="shared" si="2"/>
        <v>iBoxx MSCI ESG USD Liquid Investment Grade Ultrashort45596</v>
      </c>
      <c r="C98" s="253">
        <v>3</v>
      </c>
      <c r="D98" s="253" t="s">
        <v>496</v>
      </c>
      <c r="E98" s="253" t="s">
        <v>233</v>
      </c>
      <c r="F98" s="254">
        <v>45596</v>
      </c>
      <c r="G98" s="253">
        <v>631</v>
      </c>
      <c r="H98" s="253">
        <v>0</v>
      </c>
      <c r="I98" s="253">
        <v>631</v>
      </c>
      <c r="J98" s="255">
        <v>0</v>
      </c>
      <c r="K98" s="255">
        <v>1</v>
      </c>
      <c r="L98" s="253" t="s">
        <v>444</v>
      </c>
      <c r="M98" s="253">
        <v>7.1161121439999997</v>
      </c>
      <c r="N98" s="253">
        <v>1</v>
      </c>
      <c r="O98" s="253">
        <v>631</v>
      </c>
      <c r="P98" s="253">
        <v>7.311055434</v>
      </c>
      <c r="Q98" s="253">
        <v>1</v>
      </c>
      <c r="R98" s="253">
        <v>631</v>
      </c>
      <c r="S98" s="253">
        <v>4.8011820790000002</v>
      </c>
      <c r="T98" s="253">
        <v>1</v>
      </c>
      <c r="U98" s="253">
        <v>631</v>
      </c>
      <c r="V98" s="253">
        <v>5.8460091529999998</v>
      </c>
      <c r="W98" s="253">
        <v>1</v>
      </c>
      <c r="X98" s="253">
        <v>631</v>
      </c>
      <c r="Y98" s="253">
        <v>0</v>
      </c>
      <c r="Z98" s="253"/>
      <c r="AA98" s="253"/>
      <c r="AB98" s="253">
        <v>0</v>
      </c>
      <c r="AC98" s="253"/>
      <c r="AD98" s="253"/>
      <c r="AE98" s="253">
        <v>0.1639418812</v>
      </c>
      <c r="AF98" s="253">
        <v>0.81565037799999995</v>
      </c>
      <c r="AG98" s="253">
        <v>516</v>
      </c>
      <c r="AH98" s="253">
        <v>4.2769651829999997</v>
      </c>
      <c r="AI98" s="253">
        <v>0.26567614899999997</v>
      </c>
      <c r="AJ98" s="253">
        <v>180</v>
      </c>
      <c r="AK98" s="253">
        <v>0</v>
      </c>
      <c r="AL98" s="253"/>
      <c r="AM98" s="253"/>
      <c r="AN98" s="253">
        <v>0</v>
      </c>
      <c r="AO98" s="253"/>
      <c r="AP98" s="253"/>
      <c r="AQ98" s="253">
        <v>0</v>
      </c>
      <c r="AR98" s="253"/>
      <c r="AS98" s="253"/>
      <c r="AT98" s="252"/>
      <c r="AU98" s="252"/>
      <c r="AV98" s="252"/>
      <c r="AW98" s="252"/>
      <c r="AX98" s="252"/>
      <c r="AY98" s="252"/>
      <c r="AZ98" s="252"/>
      <c r="BA98" s="252"/>
      <c r="BB98" s="252"/>
      <c r="BC98" s="252"/>
      <c r="BD98" s="252"/>
      <c r="BE98" s="252"/>
      <c r="BF98" s="252"/>
      <c r="BG98" s="252"/>
      <c r="BH98" s="252"/>
      <c r="BI98" s="252"/>
      <c r="BJ98" s="252"/>
      <c r="BK98" s="252"/>
      <c r="BL98" s="253">
        <v>0.26634829399999999</v>
      </c>
      <c r="BM98" s="253">
        <v>1</v>
      </c>
      <c r="BN98" s="253">
        <v>631</v>
      </c>
      <c r="BO98" s="253">
        <v>16.943909609999999</v>
      </c>
      <c r="BP98" s="253">
        <v>1</v>
      </c>
      <c r="BQ98" s="253">
        <v>631</v>
      </c>
      <c r="BR98" s="253">
        <v>0.89868980700000001</v>
      </c>
      <c r="BS98" s="253">
        <v>1.3057424E-2</v>
      </c>
      <c r="BT98" s="253">
        <v>1</v>
      </c>
      <c r="BU98" s="253">
        <v>631</v>
      </c>
      <c r="BV98" s="253">
        <v>1.2094718000000001E-2</v>
      </c>
      <c r="BW98" s="253">
        <v>1.2094718000000001E-2</v>
      </c>
      <c r="BX98" s="253">
        <v>11</v>
      </c>
      <c r="BY98" s="253">
        <v>0</v>
      </c>
      <c r="BZ98" s="253">
        <v>1</v>
      </c>
      <c r="CA98" s="253">
        <v>631</v>
      </c>
      <c r="CB98" s="253">
        <v>0</v>
      </c>
      <c r="CC98" s="253">
        <v>1</v>
      </c>
      <c r="CD98" s="253">
        <v>631</v>
      </c>
      <c r="CE98" s="253">
        <v>0</v>
      </c>
      <c r="CF98" s="253">
        <v>1</v>
      </c>
      <c r="CG98" s="253">
        <v>631</v>
      </c>
      <c r="CH98" s="253"/>
      <c r="CI98" s="253"/>
      <c r="CJ98" s="253"/>
      <c r="CK98" s="253">
        <v>0</v>
      </c>
      <c r="CL98" s="253"/>
      <c r="CM98" s="253"/>
      <c r="CN98" s="253">
        <v>0.39672621899999999</v>
      </c>
      <c r="CO98" s="253">
        <v>1</v>
      </c>
      <c r="CP98" s="253">
        <v>631</v>
      </c>
      <c r="CQ98" s="253">
        <v>34</v>
      </c>
      <c r="CR98" s="253">
        <v>5.6855612E-2</v>
      </c>
      <c r="CS98" s="253">
        <v>29</v>
      </c>
      <c r="CT98">
        <v>15150318234</v>
      </c>
      <c r="CU98" s="253">
        <v>5.6855612E-2</v>
      </c>
      <c r="CV98" s="253">
        <v>29</v>
      </c>
      <c r="CW98" s="253">
        <v>0.63113791779999995</v>
      </c>
      <c r="CX98" s="253">
        <v>0.99155853199999999</v>
      </c>
      <c r="CY98" s="253">
        <v>624</v>
      </c>
      <c r="CZ98" s="252"/>
      <c r="DA98" s="252"/>
      <c r="DB98" s="252"/>
      <c r="DC98" s="253">
        <v>0</v>
      </c>
      <c r="DD98" s="253"/>
      <c r="DE98" s="253"/>
      <c r="DF98" s="171" t="s">
        <v>234</v>
      </c>
      <c r="DG98" s="252" t="s">
        <v>395</v>
      </c>
    </row>
    <row r="99" spans="2:115" x14ac:dyDescent="0.35">
      <c r="B99" s="252" t="str">
        <f t="shared" si="2"/>
        <v>iBoxx MSCI USD High Yield Paris Aligned Capped TCA45596</v>
      </c>
      <c r="C99" s="253">
        <v>5</v>
      </c>
      <c r="D99" s="253" t="s">
        <v>497</v>
      </c>
      <c r="E99" s="253" t="s">
        <v>246</v>
      </c>
      <c r="F99" s="254">
        <v>45596</v>
      </c>
      <c r="G99" s="253">
        <v>963</v>
      </c>
      <c r="H99" s="253">
        <v>0</v>
      </c>
      <c r="I99" s="253">
        <v>963</v>
      </c>
      <c r="J99" s="255">
        <v>0</v>
      </c>
      <c r="K99" s="255">
        <v>1</v>
      </c>
      <c r="L99" s="253" t="s">
        <v>444</v>
      </c>
      <c r="M99" s="253">
        <v>6.3451353279999996</v>
      </c>
      <c r="N99" s="253">
        <v>1</v>
      </c>
      <c r="O99" s="253">
        <v>963</v>
      </c>
      <c r="P99" s="253">
        <v>6.213143466</v>
      </c>
      <c r="Q99" s="253">
        <v>1</v>
      </c>
      <c r="R99" s="253">
        <v>963</v>
      </c>
      <c r="S99" s="253">
        <v>5.0124506589999998</v>
      </c>
      <c r="T99" s="253">
        <v>1</v>
      </c>
      <c r="U99" s="253">
        <v>963</v>
      </c>
      <c r="V99" s="253">
        <v>5.8149492660000002</v>
      </c>
      <c r="W99" s="253">
        <v>1</v>
      </c>
      <c r="X99" s="253">
        <v>963</v>
      </c>
      <c r="Y99" s="253">
        <v>0</v>
      </c>
      <c r="Z99" s="253"/>
      <c r="AA99" s="253"/>
      <c r="AB99" s="253">
        <v>0</v>
      </c>
      <c r="AC99" s="253"/>
      <c r="AD99" s="253"/>
      <c r="AE99" s="253">
        <v>0.15761421440000001</v>
      </c>
      <c r="AF99" s="253">
        <v>0.75859373299999999</v>
      </c>
      <c r="AG99" s="253">
        <v>748</v>
      </c>
      <c r="AH99" s="253">
        <v>7.7134001310000002</v>
      </c>
      <c r="AI99" s="253">
        <v>0.30782731800000002</v>
      </c>
      <c r="AJ99" s="253">
        <v>267</v>
      </c>
      <c r="AK99" s="253">
        <v>0</v>
      </c>
      <c r="AL99" s="253"/>
      <c r="AM99" s="253"/>
      <c r="AN99" s="253">
        <v>0</v>
      </c>
      <c r="AO99" s="253"/>
      <c r="AP99" s="253"/>
      <c r="AQ99" s="253">
        <v>0</v>
      </c>
      <c r="AR99" s="253"/>
      <c r="AS99" s="253"/>
      <c r="AT99" s="252"/>
      <c r="AU99" s="252"/>
      <c r="AV99" s="252"/>
      <c r="AW99" s="252"/>
      <c r="AX99" s="252"/>
      <c r="AY99" s="252"/>
      <c r="AZ99" s="252"/>
      <c r="BA99" s="252"/>
      <c r="BB99" s="252"/>
      <c r="BC99" s="252"/>
      <c r="BD99" s="252"/>
      <c r="BE99" s="252"/>
      <c r="BF99" s="252"/>
      <c r="BG99" s="252"/>
      <c r="BH99" s="252"/>
      <c r="BI99" s="252"/>
      <c r="BJ99" s="252"/>
      <c r="BK99" s="252"/>
      <c r="BL99" s="253">
        <v>0.50363921199999995</v>
      </c>
      <c r="BM99" s="253">
        <v>1</v>
      </c>
      <c r="BN99" s="253">
        <v>963</v>
      </c>
      <c r="BO99" s="253">
        <v>63.190105559999999</v>
      </c>
      <c r="BP99" s="253">
        <v>1</v>
      </c>
      <c r="BQ99" s="253">
        <v>963</v>
      </c>
      <c r="BR99" s="253">
        <v>0.67065880899999997</v>
      </c>
      <c r="BS99" s="253">
        <v>3.6761927999999999E-2</v>
      </c>
      <c r="BT99" s="253">
        <v>1</v>
      </c>
      <c r="BU99" s="253">
        <v>963</v>
      </c>
      <c r="BV99" s="253">
        <v>1.1390523E-2</v>
      </c>
      <c r="BW99" s="253">
        <v>1.1390523E-2</v>
      </c>
      <c r="BX99" s="253">
        <v>16</v>
      </c>
      <c r="BY99" s="253">
        <v>0</v>
      </c>
      <c r="BZ99" s="253">
        <v>1</v>
      </c>
      <c r="CA99" s="253">
        <v>963</v>
      </c>
      <c r="CB99" s="253">
        <v>0</v>
      </c>
      <c r="CC99" s="253">
        <v>1</v>
      </c>
      <c r="CD99" s="253">
        <v>963</v>
      </c>
      <c r="CE99" s="253">
        <v>0</v>
      </c>
      <c r="CF99" s="253">
        <v>1</v>
      </c>
      <c r="CG99" s="253">
        <v>963</v>
      </c>
      <c r="CH99" s="253"/>
      <c r="CI99" s="253"/>
      <c r="CJ99" s="253"/>
      <c r="CK99" s="253">
        <v>0</v>
      </c>
      <c r="CL99" s="253"/>
      <c r="CM99" s="253"/>
      <c r="CN99" s="253">
        <v>0.55139177299999997</v>
      </c>
      <c r="CO99" s="253">
        <v>1</v>
      </c>
      <c r="CP99" s="253">
        <v>963</v>
      </c>
      <c r="CQ99" s="30">
        <v>0</v>
      </c>
      <c r="CR99" s="30"/>
      <c r="CS99" s="30"/>
      <c r="CT99" s="30">
        <v>0</v>
      </c>
      <c r="CU99" s="30"/>
      <c r="CV99" s="30"/>
      <c r="CW99" s="253">
        <v>0.4848842055</v>
      </c>
      <c r="CX99" s="253">
        <v>0.99628729699999996</v>
      </c>
      <c r="CY99" s="253">
        <v>957</v>
      </c>
      <c r="CZ99" s="252"/>
      <c r="DA99" s="252"/>
      <c r="DB99" s="252"/>
      <c r="DC99" s="253">
        <v>0</v>
      </c>
      <c r="DD99" s="253"/>
      <c r="DE99" s="253"/>
      <c r="DF99" s="171" t="s">
        <v>119</v>
      </c>
      <c r="DG99" s="252" t="s">
        <v>395</v>
      </c>
    </row>
    <row r="100" spans="2:115" s="231" customFormat="1" x14ac:dyDescent="0.35">
      <c r="B100" s="252" t="str">
        <f t="shared" si="2"/>
        <v>iBoxx MSCI ESG USD Emerging Markets Sovereigns Quality Weighted45596</v>
      </c>
      <c r="C100" s="256">
        <v>6</v>
      </c>
      <c r="D100" s="256" t="s">
        <v>498</v>
      </c>
      <c r="E100" s="256" t="s">
        <v>229</v>
      </c>
      <c r="F100" s="257">
        <v>45596</v>
      </c>
      <c r="G100" s="256">
        <v>308</v>
      </c>
      <c r="H100" s="256">
        <v>308</v>
      </c>
      <c r="I100" s="256">
        <v>0</v>
      </c>
      <c r="J100" s="258">
        <v>1</v>
      </c>
      <c r="K100" s="258">
        <v>0</v>
      </c>
      <c r="L100" s="256" t="s">
        <v>455</v>
      </c>
      <c r="M100" s="256">
        <v>4.7313926740000003</v>
      </c>
      <c r="N100" s="256">
        <v>1</v>
      </c>
      <c r="O100" s="256">
        <v>308</v>
      </c>
      <c r="P100" s="256">
        <v>5.2771668150000002</v>
      </c>
      <c r="Q100" s="256">
        <v>1</v>
      </c>
      <c r="R100" s="256">
        <v>308</v>
      </c>
      <c r="S100" s="256">
        <v>6.2035850190000001</v>
      </c>
      <c r="T100" s="256">
        <v>1</v>
      </c>
      <c r="U100" s="256">
        <v>308</v>
      </c>
      <c r="V100" s="256">
        <v>5.9903909210000004</v>
      </c>
      <c r="W100" s="256">
        <v>1</v>
      </c>
      <c r="X100" s="256">
        <v>308</v>
      </c>
      <c r="Y100" s="256">
        <v>40.694919730000002</v>
      </c>
      <c r="Z100" s="256">
        <v>0.98928824400000004</v>
      </c>
      <c r="AA100" s="256">
        <v>307</v>
      </c>
      <c r="AB100" s="256">
        <v>55.080537620000001</v>
      </c>
      <c r="AC100" s="256">
        <v>1</v>
      </c>
      <c r="AD100" s="256">
        <v>308</v>
      </c>
      <c r="AE100" s="256">
        <v>0</v>
      </c>
      <c r="AF100" s="256"/>
      <c r="AG100" s="256"/>
      <c r="AH100" s="256">
        <v>0</v>
      </c>
      <c r="AI100" s="256"/>
      <c r="AJ100" s="256"/>
      <c r="AK100" s="256">
        <v>7.3892438980000001</v>
      </c>
      <c r="AL100" s="256">
        <v>1</v>
      </c>
      <c r="AM100" s="256">
        <v>308</v>
      </c>
      <c r="AN100" s="256">
        <v>0.23843937100000001</v>
      </c>
      <c r="AO100" s="256">
        <v>1</v>
      </c>
      <c r="AP100" s="256">
        <v>308</v>
      </c>
      <c r="AQ100" s="262" t="s">
        <v>460</v>
      </c>
      <c r="AR100" s="253">
        <v>0</v>
      </c>
      <c r="AS100" s="253">
        <v>0</v>
      </c>
      <c r="AT100" s="259"/>
      <c r="AU100" s="259"/>
      <c r="AV100" s="259"/>
      <c r="AW100" s="259"/>
      <c r="AX100" s="259"/>
      <c r="AY100" s="259"/>
      <c r="AZ100" s="259"/>
      <c r="BA100" s="259"/>
      <c r="BB100" s="259"/>
      <c r="BC100" s="259"/>
      <c r="BD100" s="259"/>
      <c r="BE100" s="259"/>
      <c r="BF100" s="259"/>
      <c r="BG100" s="259"/>
      <c r="BH100" s="259"/>
      <c r="BI100" s="259"/>
      <c r="BJ100" s="259"/>
      <c r="BK100" s="259"/>
      <c r="BL100" s="256"/>
      <c r="BM100" s="256"/>
      <c r="BN100" s="256"/>
      <c r="BO100" s="256">
        <v>0</v>
      </c>
      <c r="BP100" s="256"/>
      <c r="BQ100" s="256"/>
      <c r="BR100" s="256"/>
      <c r="BS100" s="256"/>
      <c r="BT100" s="256"/>
      <c r="BU100" s="256"/>
      <c r="BV100" s="256">
        <v>1.8615418000000002E-2</v>
      </c>
      <c r="BW100" s="256">
        <v>1.8615418000000002E-2</v>
      </c>
      <c r="BX100" s="256">
        <v>7</v>
      </c>
      <c r="BY100" s="256">
        <v>0</v>
      </c>
      <c r="BZ100" s="256">
        <v>1</v>
      </c>
      <c r="CA100" s="256">
        <v>308</v>
      </c>
      <c r="CB100" s="256">
        <v>0</v>
      </c>
      <c r="CC100" s="256">
        <v>1</v>
      </c>
      <c r="CD100" s="256">
        <v>308</v>
      </c>
      <c r="CE100" s="256">
        <v>0</v>
      </c>
      <c r="CF100" s="256"/>
      <c r="CG100" s="256"/>
      <c r="CH100" s="261" t="s">
        <v>460</v>
      </c>
      <c r="CI100" s="256">
        <v>0</v>
      </c>
      <c r="CJ100" s="256">
        <v>0</v>
      </c>
      <c r="CK100" s="261" t="s">
        <v>460</v>
      </c>
      <c r="CL100" s="256">
        <v>0</v>
      </c>
      <c r="CM100" s="256">
        <v>0</v>
      </c>
      <c r="CN100" s="256"/>
      <c r="CO100" s="256"/>
      <c r="CP100" s="256"/>
      <c r="CQ100" s="256">
        <v>0</v>
      </c>
      <c r="CR100" s="256"/>
      <c r="CS100" s="256"/>
      <c r="CT100" s="256">
        <v>0</v>
      </c>
      <c r="CU100" s="256"/>
      <c r="CV100" s="256"/>
      <c r="CW100" s="256">
        <v>0</v>
      </c>
      <c r="CX100" s="256"/>
      <c r="CY100" s="256"/>
      <c r="CZ100" s="259"/>
      <c r="DA100" s="259"/>
      <c r="DB100" s="259"/>
      <c r="DC100" s="261" t="s">
        <v>460</v>
      </c>
      <c r="DD100" s="256">
        <v>0</v>
      </c>
      <c r="DE100" s="256">
        <v>0</v>
      </c>
      <c r="DF100" s="171" t="s">
        <v>230</v>
      </c>
      <c r="DG100" s="252" t="s">
        <v>395</v>
      </c>
      <c r="DK100"/>
    </row>
    <row r="101" spans="2:115" x14ac:dyDescent="0.35">
      <c r="B101" s="252" t="str">
        <f t="shared" si="2"/>
        <v>iBoxx MSCI EUR Senior Corporates Investment Grade ESG Factor Weighted (version 2)45596</v>
      </c>
      <c r="C101" s="253">
        <v>55</v>
      </c>
      <c r="D101" s="253" t="s">
        <v>499</v>
      </c>
      <c r="E101" s="253" t="s">
        <v>241</v>
      </c>
      <c r="F101" s="254">
        <v>45596</v>
      </c>
      <c r="G101" s="253">
        <v>2945</v>
      </c>
      <c r="H101" s="253">
        <v>0</v>
      </c>
      <c r="I101" s="253">
        <v>2945</v>
      </c>
      <c r="J101" s="255">
        <v>0</v>
      </c>
      <c r="K101" s="255">
        <v>1</v>
      </c>
      <c r="L101" s="253" t="s">
        <v>444</v>
      </c>
      <c r="M101" s="253">
        <v>7.5163352210000003</v>
      </c>
      <c r="N101" s="253">
        <v>1</v>
      </c>
      <c r="O101" s="253">
        <v>2945</v>
      </c>
      <c r="P101" s="253">
        <v>7.1932165670000003</v>
      </c>
      <c r="Q101" s="253">
        <v>1</v>
      </c>
      <c r="R101" s="253">
        <v>2945</v>
      </c>
      <c r="S101" s="253">
        <v>5.384313992</v>
      </c>
      <c r="T101" s="253">
        <v>1</v>
      </c>
      <c r="U101" s="253">
        <v>2945</v>
      </c>
      <c r="V101" s="253">
        <v>6.2763602409999999</v>
      </c>
      <c r="W101" s="253">
        <v>1</v>
      </c>
      <c r="X101" s="253">
        <v>2945</v>
      </c>
      <c r="Y101" s="253">
        <v>0</v>
      </c>
      <c r="Z101" s="253"/>
      <c r="AA101" s="253"/>
      <c r="AB101" s="253">
        <v>0</v>
      </c>
      <c r="AC101" s="253"/>
      <c r="AD101" s="253"/>
      <c r="AE101" s="253">
        <v>0.13737346009999998</v>
      </c>
      <c r="AF101" s="253">
        <v>0.80306411300000002</v>
      </c>
      <c r="AG101" s="253">
        <v>2369</v>
      </c>
      <c r="AH101" s="253">
        <v>4.5024694480000003</v>
      </c>
      <c r="AI101" s="253">
        <v>0.41665985100000003</v>
      </c>
      <c r="AJ101" s="253">
        <v>1115</v>
      </c>
      <c r="AK101" s="253">
        <v>0</v>
      </c>
      <c r="AL101" s="253"/>
      <c r="AM101" s="253"/>
      <c r="AN101" s="253">
        <v>0</v>
      </c>
      <c r="AO101" s="253"/>
      <c r="AP101" s="253"/>
      <c r="AQ101" s="253">
        <v>0</v>
      </c>
      <c r="AR101" s="253"/>
      <c r="AS101" s="253"/>
      <c r="AT101" s="252"/>
      <c r="AU101" s="252"/>
      <c r="AV101" s="252"/>
      <c r="AW101" s="252"/>
      <c r="AX101" s="252"/>
      <c r="AY101" s="252"/>
      <c r="AZ101" s="252"/>
      <c r="BA101" s="252"/>
      <c r="BB101" s="252"/>
      <c r="BC101" s="252"/>
      <c r="BD101" s="252"/>
      <c r="BE101" s="252"/>
      <c r="BF101" s="252"/>
      <c r="BG101" s="252"/>
      <c r="BH101" s="252"/>
      <c r="BI101" s="252"/>
      <c r="BJ101" s="252"/>
      <c r="BK101" s="252"/>
      <c r="BL101" s="253">
        <v>0.552861724</v>
      </c>
      <c r="BM101" s="253">
        <v>1</v>
      </c>
      <c r="BN101" s="253">
        <v>2945</v>
      </c>
      <c r="BO101" s="253">
        <v>58.327298409999997</v>
      </c>
      <c r="BP101" s="253">
        <v>1</v>
      </c>
      <c r="BQ101" s="253">
        <v>2945</v>
      </c>
      <c r="BR101" s="253">
        <v>0.87611181999999999</v>
      </c>
      <c r="BS101" s="253">
        <v>6.7410358000000004E-2</v>
      </c>
      <c r="BT101" s="253">
        <v>1</v>
      </c>
      <c r="BU101" s="253">
        <v>2945</v>
      </c>
      <c r="BV101" s="253">
        <v>0.14232373400000001</v>
      </c>
      <c r="BW101" s="253">
        <v>0.14232373400000001</v>
      </c>
      <c r="BX101" s="253">
        <v>496</v>
      </c>
      <c r="BY101" s="253">
        <v>0</v>
      </c>
      <c r="BZ101" s="253">
        <v>1</v>
      </c>
      <c r="CA101" s="253">
        <v>2945</v>
      </c>
      <c r="CB101" s="253">
        <v>6.7163750000000001E-3</v>
      </c>
      <c r="CC101" s="253">
        <v>1</v>
      </c>
      <c r="CD101" s="253">
        <v>2945</v>
      </c>
      <c r="CE101" s="253">
        <v>0</v>
      </c>
      <c r="CF101" s="253">
        <v>1</v>
      </c>
      <c r="CG101" s="253">
        <v>2945</v>
      </c>
      <c r="CH101" s="253"/>
      <c r="CI101" s="253"/>
      <c r="CJ101" s="253"/>
      <c r="CK101" s="253">
        <v>0</v>
      </c>
      <c r="CL101" s="253"/>
      <c r="CM101" s="253"/>
      <c r="CN101" s="253">
        <v>0.22545245</v>
      </c>
      <c r="CO101" s="253">
        <v>1</v>
      </c>
      <c r="CP101" s="253">
        <v>2945</v>
      </c>
      <c r="CQ101" s="253">
        <v>29</v>
      </c>
      <c r="CR101" s="253">
        <v>2.8713836E-2</v>
      </c>
      <c r="CS101" s="253">
        <v>68</v>
      </c>
      <c r="CT101">
        <v>10008548968</v>
      </c>
      <c r="CU101" s="253">
        <v>2.561745E-2</v>
      </c>
      <c r="CV101" s="253">
        <v>64</v>
      </c>
      <c r="CW101" s="253">
        <v>0.69445937830000004</v>
      </c>
      <c r="CX101" s="253">
        <v>0.99741967799999998</v>
      </c>
      <c r="CY101" s="253">
        <v>2913</v>
      </c>
      <c r="CZ101" s="252"/>
      <c r="DA101" s="252"/>
      <c r="DB101" s="252"/>
      <c r="DC101" s="253">
        <v>0</v>
      </c>
      <c r="DD101" s="253"/>
      <c r="DE101" s="253"/>
      <c r="DF101" s="171" t="s">
        <v>242</v>
      </c>
      <c r="DG101" s="252" t="s">
        <v>395</v>
      </c>
    </row>
    <row r="102" spans="2:115" x14ac:dyDescent="0.35">
      <c r="B102" s="252" t="str">
        <f t="shared" si="2"/>
        <v>iBoxx MSCI ESG EUR Corporates45596</v>
      </c>
      <c r="C102" s="253">
        <v>56</v>
      </c>
      <c r="D102" s="253" t="s">
        <v>500</v>
      </c>
      <c r="E102" s="253" t="s">
        <v>206</v>
      </c>
      <c r="F102" s="254">
        <v>45596</v>
      </c>
      <c r="G102" s="253">
        <v>3084</v>
      </c>
      <c r="H102" s="253">
        <v>0</v>
      </c>
      <c r="I102" s="253">
        <v>3084</v>
      </c>
      <c r="J102" s="255">
        <v>0</v>
      </c>
      <c r="K102" s="255">
        <v>1</v>
      </c>
      <c r="L102" s="253" t="s">
        <v>444</v>
      </c>
      <c r="M102" s="253">
        <v>7.5390480709999999</v>
      </c>
      <c r="N102" s="253">
        <v>1</v>
      </c>
      <c r="O102" s="253">
        <v>3084</v>
      </c>
      <c r="P102" s="253">
        <v>7.6348052720000004</v>
      </c>
      <c r="Q102" s="253">
        <v>1</v>
      </c>
      <c r="R102" s="253">
        <v>3084</v>
      </c>
      <c r="S102" s="253">
        <v>5.2144145210000001</v>
      </c>
      <c r="T102" s="253">
        <v>1</v>
      </c>
      <c r="U102" s="253">
        <v>3084</v>
      </c>
      <c r="V102" s="253">
        <v>6.1537841169999998</v>
      </c>
      <c r="W102" s="253">
        <v>1</v>
      </c>
      <c r="X102" s="253">
        <v>3084</v>
      </c>
      <c r="Y102" s="253">
        <v>0</v>
      </c>
      <c r="Z102" s="253"/>
      <c r="AA102" s="253"/>
      <c r="AB102" s="253">
        <v>0</v>
      </c>
      <c r="AC102" s="253"/>
      <c r="AD102" s="253"/>
      <c r="AE102" s="253">
        <v>0.1460585043</v>
      </c>
      <c r="AF102" s="253">
        <v>0.78747835099999997</v>
      </c>
      <c r="AG102" s="253">
        <v>2481</v>
      </c>
      <c r="AH102" s="253">
        <v>4.0279742489999997</v>
      </c>
      <c r="AI102" s="253">
        <v>0.33338795500000001</v>
      </c>
      <c r="AJ102" s="253">
        <v>1083</v>
      </c>
      <c r="AK102" s="253">
        <v>0</v>
      </c>
      <c r="AL102" s="253"/>
      <c r="AM102" s="253"/>
      <c r="AN102" s="253">
        <v>0</v>
      </c>
      <c r="AO102" s="253"/>
      <c r="AP102" s="253"/>
      <c r="AQ102" s="253">
        <v>0</v>
      </c>
      <c r="AR102" s="253"/>
      <c r="AS102" s="253"/>
      <c r="AT102" s="252"/>
      <c r="AU102" s="252"/>
      <c r="AV102" s="252"/>
      <c r="AW102" s="252"/>
      <c r="AX102" s="252"/>
      <c r="AY102" s="252"/>
      <c r="AZ102" s="252"/>
      <c r="BA102" s="252"/>
      <c r="BB102" s="252"/>
      <c r="BC102" s="252"/>
      <c r="BD102" s="252"/>
      <c r="BE102" s="252"/>
      <c r="BF102" s="252"/>
      <c r="BG102" s="252"/>
      <c r="BH102" s="252"/>
      <c r="BI102" s="252"/>
      <c r="BJ102" s="252"/>
      <c r="BK102" s="252"/>
      <c r="BL102" s="253">
        <v>0.38070858899999999</v>
      </c>
      <c r="BM102" s="253">
        <v>1</v>
      </c>
      <c r="BN102" s="253">
        <v>3084</v>
      </c>
      <c r="BO102" s="253">
        <v>40.57295972</v>
      </c>
      <c r="BP102" s="253">
        <v>1</v>
      </c>
      <c r="BQ102" s="253">
        <v>3084</v>
      </c>
      <c r="BR102" s="253">
        <v>0.90103542199999997</v>
      </c>
      <c r="BS102" s="253">
        <v>3.6960603000000002E-2</v>
      </c>
      <c r="BT102" s="253">
        <v>1</v>
      </c>
      <c r="BU102" s="253">
        <v>3084</v>
      </c>
      <c r="BV102" s="253">
        <v>0.14832325299999999</v>
      </c>
      <c r="BW102" s="253">
        <v>0.14832325299999999</v>
      </c>
      <c r="BX102" s="253">
        <v>506</v>
      </c>
      <c r="BY102" s="253">
        <v>0</v>
      </c>
      <c r="BZ102" s="253">
        <v>1</v>
      </c>
      <c r="CA102" s="253">
        <v>3084</v>
      </c>
      <c r="CB102" s="253">
        <v>0</v>
      </c>
      <c r="CC102" s="253">
        <v>1</v>
      </c>
      <c r="CD102" s="253">
        <v>3084</v>
      </c>
      <c r="CE102" s="253">
        <v>0</v>
      </c>
      <c r="CF102" s="253">
        <v>1</v>
      </c>
      <c r="CG102" s="253">
        <v>3084</v>
      </c>
      <c r="CH102" s="253"/>
      <c r="CI102" s="253"/>
      <c r="CJ102" s="253"/>
      <c r="CK102" s="253">
        <v>0</v>
      </c>
      <c r="CL102" s="253"/>
      <c r="CM102" s="253"/>
      <c r="CN102" s="253">
        <v>0.19873969899999999</v>
      </c>
      <c r="CO102" s="253">
        <v>1</v>
      </c>
      <c r="CP102" s="253">
        <v>3084</v>
      </c>
      <c r="CQ102" s="253">
        <v>34</v>
      </c>
      <c r="CR102" s="253">
        <v>2.8270038000000001E-2</v>
      </c>
      <c r="CS102" s="253">
        <v>74</v>
      </c>
      <c r="CT102">
        <v>10314144262</v>
      </c>
      <c r="CU102" s="253">
        <v>2.7451590000000001E-2</v>
      </c>
      <c r="CV102" s="253">
        <v>70</v>
      </c>
      <c r="CW102" s="253">
        <v>0.72751937850000004</v>
      </c>
      <c r="CX102" s="253">
        <v>0.98070975500000002</v>
      </c>
      <c r="CY102" s="253">
        <v>3040</v>
      </c>
      <c r="CZ102" s="252"/>
      <c r="DA102" s="252"/>
      <c r="DB102" s="252"/>
      <c r="DC102" s="253">
        <v>0</v>
      </c>
      <c r="DD102" s="253"/>
      <c r="DE102" s="253"/>
      <c r="DF102" s="171" t="s">
        <v>207</v>
      </c>
      <c r="DG102" s="252" t="s">
        <v>395</v>
      </c>
    </row>
    <row r="103" spans="2:115" x14ac:dyDescent="0.35">
      <c r="B103" s="252" t="str">
        <f t="shared" si="2"/>
        <v>iBoxx MSCI EUR Senior Corporates Investment Grade ESG Factor Weighted (version 3)45596</v>
      </c>
      <c r="C103" s="253">
        <v>57</v>
      </c>
      <c r="D103" s="253" t="s">
        <v>501</v>
      </c>
      <c r="E103" s="253" t="s">
        <v>243</v>
      </c>
      <c r="F103" s="254">
        <v>45596</v>
      </c>
      <c r="G103" s="253">
        <v>3028</v>
      </c>
      <c r="H103" s="253">
        <v>0</v>
      </c>
      <c r="I103" s="253">
        <v>3028</v>
      </c>
      <c r="J103" s="255">
        <v>0</v>
      </c>
      <c r="K103" s="255">
        <v>1</v>
      </c>
      <c r="L103" s="253" t="s">
        <v>444</v>
      </c>
      <c r="M103" s="253">
        <v>7.5091306089999996</v>
      </c>
      <c r="N103" s="253">
        <v>1</v>
      </c>
      <c r="O103" s="253">
        <v>3028</v>
      </c>
      <c r="P103" s="253">
        <v>7.1295969880000003</v>
      </c>
      <c r="Q103" s="253">
        <v>1</v>
      </c>
      <c r="R103" s="253">
        <v>3028</v>
      </c>
      <c r="S103" s="253">
        <v>5.406211785</v>
      </c>
      <c r="T103" s="253">
        <v>1</v>
      </c>
      <c r="U103" s="253">
        <v>3028</v>
      </c>
      <c r="V103" s="253">
        <v>6.3043568289999996</v>
      </c>
      <c r="W103" s="253">
        <v>1</v>
      </c>
      <c r="X103" s="253">
        <v>3028</v>
      </c>
      <c r="Y103" s="253">
        <v>0</v>
      </c>
      <c r="Z103" s="253"/>
      <c r="AA103" s="253"/>
      <c r="AB103" s="253">
        <v>0</v>
      </c>
      <c r="AC103" s="253"/>
      <c r="AD103" s="253"/>
      <c r="AE103" s="253">
        <v>0.13677600840000001</v>
      </c>
      <c r="AF103" s="253">
        <v>0.81051472000000002</v>
      </c>
      <c r="AG103" s="253">
        <v>2448</v>
      </c>
      <c r="AH103" s="253">
        <v>4.2907631950000003</v>
      </c>
      <c r="AI103" s="253">
        <v>0.43486141900000003</v>
      </c>
      <c r="AJ103" s="253">
        <v>1190</v>
      </c>
      <c r="AK103" s="253">
        <v>0</v>
      </c>
      <c r="AL103" s="253"/>
      <c r="AM103" s="253"/>
      <c r="AN103" s="253">
        <v>0</v>
      </c>
      <c r="AO103" s="253"/>
      <c r="AP103" s="253"/>
      <c r="AQ103" s="253">
        <v>0</v>
      </c>
      <c r="AR103" s="253"/>
      <c r="AS103" s="253"/>
      <c r="AT103" s="252"/>
      <c r="AU103" s="252"/>
      <c r="AV103" s="252"/>
      <c r="AW103" s="252"/>
      <c r="AX103" s="252"/>
      <c r="AY103" s="252"/>
      <c r="AZ103" s="252"/>
      <c r="BA103" s="252"/>
      <c r="BB103" s="252"/>
      <c r="BC103" s="252"/>
      <c r="BD103" s="252"/>
      <c r="BE103" s="252"/>
      <c r="BF103" s="252"/>
      <c r="BG103" s="252"/>
      <c r="BH103" s="252"/>
      <c r="BI103" s="252"/>
      <c r="BJ103" s="252"/>
      <c r="BK103" s="252"/>
      <c r="BL103" s="253">
        <v>0.56500141800000003</v>
      </c>
      <c r="BM103" s="253">
        <v>1</v>
      </c>
      <c r="BN103" s="253">
        <v>3028</v>
      </c>
      <c r="BO103" s="253">
        <v>66.2742425</v>
      </c>
      <c r="BP103" s="253">
        <v>1</v>
      </c>
      <c r="BQ103" s="253">
        <v>3028</v>
      </c>
      <c r="BR103" s="253">
        <v>0.87853030300000001</v>
      </c>
      <c r="BS103" s="253">
        <v>8.9922255000000006E-2</v>
      </c>
      <c r="BT103" s="253">
        <v>1</v>
      </c>
      <c r="BU103" s="253">
        <v>3028</v>
      </c>
      <c r="BV103" s="253">
        <v>0.14031737799999999</v>
      </c>
      <c r="BW103" s="253">
        <v>0.14031737799999999</v>
      </c>
      <c r="BX103" s="253">
        <v>506</v>
      </c>
      <c r="BY103" s="253">
        <v>0</v>
      </c>
      <c r="BZ103" s="253">
        <v>1</v>
      </c>
      <c r="CA103" s="253">
        <v>3028</v>
      </c>
      <c r="CB103" s="253">
        <v>6.4902370000000003E-3</v>
      </c>
      <c r="CC103" s="253">
        <v>1</v>
      </c>
      <c r="CD103" s="253">
        <v>3028</v>
      </c>
      <c r="CE103" s="253">
        <v>0</v>
      </c>
      <c r="CF103" s="253">
        <v>1</v>
      </c>
      <c r="CG103" s="253">
        <v>3028</v>
      </c>
      <c r="CH103" s="253"/>
      <c r="CI103" s="253"/>
      <c r="CJ103" s="253"/>
      <c r="CK103" s="253">
        <v>0</v>
      </c>
      <c r="CL103" s="253"/>
      <c r="CM103" s="253"/>
      <c r="CN103" s="253">
        <v>0.225302688</v>
      </c>
      <c r="CO103" s="253">
        <v>1</v>
      </c>
      <c r="CP103" s="253">
        <v>3028</v>
      </c>
      <c r="CQ103" s="253">
        <v>35</v>
      </c>
      <c r="CR103" s="253">
        <v>3.1956344999999997E-2</v>
      </c>
      <c r="CS103" s="253">
        <v>83</v>
      </c>
      <c r="CT103">
        <v>10318899229</v>
      </c>
      <c r="CU103" s="253">
        <v>2.8967933000000001E-2</v>
      </c>
      <c r="CV103" s="253">
        <v>79</v>
      </c>
      <c r="CW103" s="253">
        <v>0.69249810489999997</v>
      </c>
      <c r="CX103" s="253">
        <v>0.99750965700000005</v>
      </c>
      <c r="CY103" s="253">
        <v>2996</v>
      </c>
      <c r="CZ103" s="252"/>
      <c r="DA103" s="252"/>
      <c r="DB103" s="252"/>
      <c r="DC103" s="253">
        <v>0</v>
      </c>
      <c r="DD103" s="253"/>
      <c r="DE103" s="253"/>
      <c r="DF103" s="171" t="s">
        <v>244</v>
      </c>
      <c r="DG103" s="252" t="s">
        <v>395</v>
      </c>
    </row>
    <row r="104" spans="2:115" x14ac:dyDescent="0.35">
      <c r="B104" s="252" t="str">
        <f t="shared" si="2"/>
        <v>iBoxx MSCI EUR Senior Corporates Investment Grade ESG Factor Weighted45596</v>
      </c>
      <c r="C104" s="253">
        <v>58</v>
      </c>
      <c r="D104" s="253" t="s">
        <v>502</v>
      </c>
      <c r="E104" s="253" t="s">
        <v>239</v>
      </c>
      <c r="F104" s="254">
        <v>45596</v>
      </c>
      <c r="G104" s="253">
        <v>3028</v>
      </c>
      <c r="H104" s="253">
        <v>0</v>
      </c>
      <c r="I104" s="253">
        <v>3028</v>
      </c>
      <c r="J104" s="255">
        <v>0</v>
      </c>
      <c r="K104" s="255">
        <v>1</v>
      </c>
      <c r="L104" s="253" t="s">
        <v>444</v>
      </c>
      <c r="M104" s="253">
        <v>7.5091306089999996</v>
      </c>
      <c r="N104" s="253">
        <v>1</v>
      </c>
      <c r="O104" s="253">
        <v>3028</v>
      </c>
      <c r="P104" s="253">
        <v>7.1295969880000003</v>
      </c>
      <c r="Q104" s="253">
        <v>1</v>
      </c>
      <c r="R104" s="253">
        <v>3028</v>
      </c>
      <c r="S104" s="253">
        <v>5.406211785</v>
      </c>
      <c r="T104" s="253">
        <v>1</v>
      </c>
      <c r="U104" s="253">
        <v>3028</v>
      </c>
      <c r="V104" s="253">
        <v>6.3043568289999996</v>
      </c>
      <c r="W104" s="253">
        <v>1</v>
      </c>
      <c r="X104" s="253">
        <v>3028</v>
      </c>
      <c r="Y104" s="253">
        <v>0</v>
      </c>
      <c r="Z104" s="253"/>
      <c r="AA104" s="253"/>
      <c r="AB104" s="253">
        <v>0</v>
      </c>
      <c r="AC104" s="253"/>
      <c r="AD104" s="253"/>
      <c r="AE104" s="253">
        <v>0.13677600840000001</v>
      </c>
      <c r="AF104" s="253">
        <v>0.81051472000000002</v>
      </c>
      <c r="AG104" s="253">
        <v>2448</v>
      </c>
      <c r="AH104" s="253">
        <v>4.2907631950000003</v>
      </c>
      <c r="AI104" s="253">
        <v>0.43486141900000003</v>
      </c>
      <c r="AJ104" s="253">
        <v>1190</v>
      </c>
      <c r="AK104" s="253">
        <v>0</v>
      </c>
      <c r="AL104" s="253"/>
      <c r="AM104" s="253"/>
      <c r="AN104" s="253">
        <v>0</v>
      </c>
      <c r="AO104" s="253"/>
      <c r="AP104" s="253"/>
      <c r="AQ104" s="253">
        <v>0</v>
      </c>
      <c r="AR104" s="253"/>
      <c r="AS104" s="253"/>
      <c r="AT104" s="252"/>
      <c r="AU104" s="252"/>
      <c r="AV104" s="252"/>
      <c r="AW104" s="252"/>
      <c r="AX104" s="252"/>
      <c r="AY104" s="252"/>
      <c r="AZ104" s="252"/>
      <c r="BA104" s="252"/>
      <c r="BB104" s="252"/>
      <c r="BC104" s="252"/>
      <c r="BD104" s="252"/>
      <c r="BE104" s="252"/>
      <c r="BF104" s="252"/>
      <c r="BG104" s="252"/>
      <c r="BH104" s="252"/>
      <c r="BI104" s="252"/>
      <c r="BJ104" s="252"/>
      <c r="BK104" s="252"/>
      <c r="BL104" s="253">
        <v>0.56500141800000003</v>
      </c>
      <c r="BM104" s="253">
        <v>1</v>
      </c>
      <c r="BN104" s="253">
        <v>3028</v>
      </c>
      <c r="BO104" s="253">
        <v>66.2742425</v>
      </c>
      <c r="BP104" s="253">
        <v>1</v>
      </c>
      <c r="BQ104" s="253">
        <v>3028</v>
      </c>
      <c r="BR104" s="253">
        <v>0.87853030300000001</v>
      </c>
      <c r="BS104" s="253">
        <v>8.9922255000000006E-2</v>
      </c>
      <c r="BT104" s="253">
        <v>1</v>
      </c>
      <c r="BU104" s="253">
        <v>3028</v>
      </c>
      <c r="BV104" s="253">
        <v>0.14031737799999999</v>
      </c>
      <c r="BW104" s="253">
        <v>0.14031737799999999</v>
      </c>
      <c r="BX104" s="253">
        <v>506</v>
      </c>
      <c r="BY104" s="253">
        <v>0</v>
      </c>
      <c r="BZ104" s="253">
        <v>1</v>
      </c>
      <c r="CA104" s="253">
        <v>3028</v>
      </c>
      <c r="CB104" s="253">
        <v>6.4902370000000003E-3</v>
      </c>
      <c r="CC104" s="253">
        <v>1</v>
      </c>
      <c r="CD104" s="253">
        <v>3028</v>
      </c>
      <c r="CE104" s="253">
        <v>0</v>
      </c>
      <c r="CF104" s="253">
        <v>1</v>
      </c>
      <c r="CG104" s="253">
        <v>3028</v>
      </c>
      <c r="CH104" s="253"/>
      <c r="CI104" s="253"/>
      <c r="CJ104" s="253"/>
      <c r="CK104" s="253">
        <v>0</v>
      </c>
      <c r="CL104" s="253"/>
      <c r="CM104" s="253"/>
      <c r="CN104" s="253">
        <v>0.225302688</v>
      </c>
      <c r="CO104" s="253">
        <v>1</v>
      </c>
      <c r="CP104" s="253">
        <v>3028</v>
      </c>
      <c r="CQ104" s="253">
        <v>35</v>
      </c>
      <c r="CR104" s="253">
        <v>3.1956344999999997E-2</v>
      </c>
      <c r="CS104" s="253">
        <v>83</v>
      </c>
      <c r="CT104">
        <v>10318899229</v>
      </c>
      <c r="CU104" s="253">
        <v>2.8967933000000001E-2</v>
      </c>
      <c r="CV104" s="253">
        <v>79</v>
      </c>
      <c r="CW104" s="253">
        <v>0.69249810489999997</v>
      </c>
      <c r="CX104" s="253">
        <v>0.99750965700000005</v>
      </c>
      <c r="CY104" s="253">
        <v>2996</v>
      </c>
      <c r="CZ104" s="252"/>
      <c r="DA104" s="252"/>
      <c r="DB104" s="252"/>
      <c r="DC104" s="253">
        <v>0</v>
      </c>
      <c r="DD104" s="253"/>
      <c r="DE104" s="253"/>
      <c r="DF104" s="171" t="s">
        <v>240</v>
      </c>
      <c r="DG104" s="252" t="s">
        <v>395</v>
      </c>
    </row>
    <row r="105" spans="2:115" x14ac:dyDescent="0.35">
      <c r="B105" s="252" t="str">
        <f t="shared" si="2"/>
        <v>iBoxx MSCI ESG EUR Corporates BBB TCA45596</v>
      </c>
      <c r="C105" s="253">
        <v>59</v>
      </c>
      <c r="D105" s="253" t="s">
        <v>503</v>
      </c>
      <c r="E105" s="253" t="s">
        <v>210</v>
      </c>
      <c r="F105" s="254">
        <v>45596</v>
      </c>
      <c r="G105" s="253">
        <v>1661</v>
      </c>
      <c r="H105" s="253">
        <v>0</v>
      </c>
      <c r="I105" s="253">
        <v>1661</v>
      </c>
      <c r="J105" s="255">
        <v>0</v>
      </c>
      <c r="K105" s="255">
        <v>1</v>
      </c>
      <c r="L105" s="253" t="s">
        <v>444</v>
      </c>
      <c r="M105" s="253">
        <v>7.5183030989999997</v>
      </c>
      <c r="N105" s="253">
        <v>1</v>
      </c>
      <c r="O105" s="253">
        <v>1661</v>
      </c>
      <c r="P105" s="253">
        <v>7.6181510259999996</v>
      </c>
      <c r="Q105" s="253">
        <v>1</v>
      </c>
      <c r="R105" s="253">
        <v>1661</v>
      </c>
      <c r="S105" s="253">
        <v>5.5144718099999999</v>
      </c>
      <c r="T105" s="253">
        <v>1</v>
      </c>
      <c r="U105" s="253">
        <v>1661</v>
      </c>
      <c r="V105" s="253">
        <v>6.2762684310000001</v>
      </c>
      <c r="W105" s="253">
        <v>1</v>
      </c>
      <c r="X105" s="253">
        <v>1661</v>
      </c>
      <c r="Y105" s="253">
        <v>35.200000000000003</v>
      </c>
      <c r="Z105" s="253">
        <v>2.8260900000000002E-4</v>
      </c>
      <c r="AA105" s="253">
        <v>1</v>
      </c>
      <c r="AB105" s="253">
        <v>72</v>
      </c>
      <c r="AC105" s="253">
        <v>2.8260900000000002E-4</v>
      </c>
      <c r="AD105" s="253">
        <v>1</v>
      </c>
      <c r="AE105" s="253">
        <v>0.13082550810000002</v>
      </c>
      <c r="AF105" s="253">
        <v>0.83704787800000002</v>
      </c>
      <c r="AG105" s="253">
        <v>1398</v>
      </c>
      <c r="AH105" s="253">
        <v>5.015576619</v>
      </c>
      <c r="AI105" s="253">
        <v>0.445324575</v>
      </c>
      <c r="AJ105" s="253">
        <v>723</v>
      </c>
      <c r="AK105" s="253">
        <v>8.14</v>
      </c>
      <c r="AL105" s="253">
        <v>2.8260900000000002E-4</v>
      </c>
      <c r="AM105" s="253">
        <v>1</v>
      </c>
      <c r="AN105" s="253">
        <v>0.3</v>
      </c>
      <c r="AO105" s="253">
        <v>2.8260900000000002E-4</v>
      </c>
      <c r="AP105" s="253">
        <v>1</v>
      </c>
      <c r="AQ105" s="253">
        <v>196.23</v>
      </c>
      <c r="AR105" s="253">
        <v>2.8260900000000002E-4</v>
      </c>
      <c r="AS105" s="253">
        <v>1</v>
      </c>
      <c r="AT105" s="252"/>
      <c r="AU105" s="252"/>
      <c r="AV105" s="252"/>
      <c r="AW105" s="252"/>
      <c r="AX105" s="252"/>
      <c r="AY105" s="252"/>
      <c r="AZ105" s="252"/>
      <c r="BA105" s="252"/>
      <c r="BB105" s="252"/>
      <c r="BC105" s="252"/>
      <c r="BD105" s="252"/>
      <c r="BE105" s="252"/>
      <c r="BF105" s="252"/>
      <c r="BG105" s="252"/>
      <c r="BH105" s="252"/>
      <c r="BI105" s="252"/>
      <c r="BJ105" s="252"/>
      <c r="BK105" s="252"/>
      <c r="BL105" s="253">
        <v>0.44271112400000001</v>
      </c>
      <c r="BM105" s="253">
        <v>1</v>
      </c>
      <c r="BN105" s="253">
        <v>1661</v>
      </c>
      <c r="BO105" s="253">
        <v>72.574672340000006</v>
      </c>
      <c r="BP105" s="253">
        <v>1</v>
      </c>
      <c r="BQ105" s="253">
        <v>1661</v>
      </c>
      <c r="BR105" s="253">
        <v>0.906644318</v>
      </c>
      <c r="BS105" s="253">
        <v>2.476329E-2</v>
      </c>
      <c r="BT105" s="253">
        <v>1</v>
      </c>
      <c r="BU105" s="253">
        <v>1661</v>
      </c>
      <c r="BV105" s="253">
        <v>0.18224167599999999</v>
      </c>
      <c r="BW105" s="253">
        <v>0.18224167599999999</v>
      </c>
      <c r="BX105" s="253">
        <v>317</v>
      </c>
      <c r="BY105" s="253">
        <v>0</v>
      </c>
      <c r="BZ105" s="253">
        <v>1</v>
      </c>
      <c r="CA105" s="253">
        <v>1661</v>
      </c>
      <c r="CB105" s="253">
        <v>0</v>
      </c>
      <c r="CC105" s="253">
        <v>1</v>
      </c>
      <c r="CD105" s="253">
        <v>1661</v>
      </c>
      <c r="CE105" s="253">
        <v>0</v>
      </c>
      <c r="CF105" s="253">
        <v>1</v>
      </c>
      <c r="CG105" s="253">
        <v>1661</v>
      </c>
      <c r="CH105" s="253"/>
      <c r="CI105" s="253">
        <v>2.8260900000000002E-4</v>
      </c>
      <c r="CJ105" s="253">
        <v>1</v>
      </c>
      <c r="CK105" s="253">
        <v>0.73</v>
      </c>
      <c r="CL105" s="253">
        <v>2.8260900000000002E-4</v>
      </c>
      <c r="CM105" s="253">
        <v>1</v>
      </c>
      <c r="CN105" s="253">
        <v>0.165369512</v>
      </c>
      <c r="CO105" s="253">
        <v>0.99971739100000001</v>
      </c>
      <c r="CP105" s="253">
        <v>1660</v>
      </c>
      <c r="CQ105" s="253">
        <v>12</v>
      </c>
      <c r="CR105" s="253">
        <v>2.6621471000000001E-2</v>
      </c>
      <c r="CS105" s="253">
        <v>35</v>
      </c>
      <c r="CT105" s="253">
        <v>1558964802</v>
      </c>
      <c r="CU105" s="253">
        <v>2.6621471000000001E-2</v>
      </c>
      <c r="CV105" s="253">
        <v>35</v>
      </c>
      <c r="CW105" s="253">
        <v>0.71686807259999996</v>
      </c>
      <c r="CX105" s="253">
        <v>0.99008279099999996</v>
      </c>
      <c r="CY105" s="253">
        <v>1647</v>
      </c>
      <c r="CZ105" s="252"/>
      <c r="DA105" s="252"/>
      <c r="DB105" s="252"/>
      <c r="DC105" s="253">
        <v>56</v>
      </c>
      <c r="DD105" s="253">
        <v>2.8260900000000002E-4</v>
      </c>
      <c r="DE105" s="253">
        <v>1</v>
      </c>
      <c r="DF105" s="171" t="s">
        <v>211</v>
      </c>
      <c r="DG105" s="252" t="s">
        <v>395</v>
      </c>
    </row>
    <row r="106" spans="2:115" x14ac:dyDescent="0.35">
      <c r="B106" s="252" t="str">
        <f t="shared" si="2"/>
        <v>iBoxx MSCI ESG EUR Financials TCA45596</v>
      </c>
      <c r="C106" s="253">
        <v>60</v>
      </c>
      <c r="D106" s="253" t="s">
        <v>504</v>
      </c>
      <c r="E106" s="253" t="s">
        <v>213</v>
      </c>
      <c r="F106" s="254">
        <v>45596</v>
      </c>
      <c r="G106" s="253">
        <v>1274</v>
      </c>
      <c r="H106" s="253">
        <v>0</v>
      </c>
      <c r="I106" s="253">
        <v>1274</v>
      </c>
      <c r="J106" s="255">
        <v>0</v>
      </c>
      <c r="K106" s="255">
        <v>1</v>
      </c>
      <c r="L106" s="253" t="s">
        <v>444</v>
      </c>
      <c r="M106" s="253">
        <v>7.5896995880000002</v>
      </c>
      <c r="N106" s="253">
        <v>1</v>
      </c>
      <c r="O106" s="253">
        <v>1274</v>
      </c>
      <c r="P106" s="253">
        <v>7.7756269800000002</v>
      </c>
      <c r="Q106" s="253">
        <v>1</v>
      </c>
      <c r="R106" s="253">
        <v>1274</v>
      </c>
      <c r="S106" s="253">
        <v>4.8741455489999996</v>
      </c>
      <c r="T106" s="253">
        <v>1</v>
      </c>
      <c r="U106" s="253">
        <v>1274</v>
      </c>
      <c r="V106" s="253">
        <v>6.238414831</v>
      </c>
      <c r="W106" s="253">
        <v>1</v>
      </c>
      <c r="X106" s="253">
        <v>1274</v>
      </c>
      <c r="Y106" s="253">
        <v>35.200000000000003</v>
      </c>
      <c r="Z106" s="253">
        <v>3.11133E-4</v>
      </c>
      <c r="AA106" s="253">
        <v>1</v>
      </c>
      <c r="AB106" s="253">
        <v>72</v>
      </c>
      <c r="AC106" s="253">
        <v>3.11133E-4</v>
      </c>
      <c r="AD106" s="253">
        <v>1</v>
      </c>
      <c r="AE106" s="253">
        <v>0.16785460090000001</v>
      </c>
      <c r="AF106" s="253">
        <v>0.75504832</v>
      </c>
      <c r="AG106" s="253">
        <v>987</v>
      </c>
      <c r="AH106" s="253">
        <v>4.8934816059999999</v>
      </c>
      <c r="AI106" s="253">
        <v>0.170817047</v>
      </c>
      <c r="AJ106" s="253">
        <v>233</v>
      </c>
      <c r="AK106" s="253">
        <v>8.14</v>
      </c>
      <c r="AL106" s="253">
        <v>3.11133E-4</v>
      </c>
      <c r="AM106" s="253">
        <v>1</v>
      </c>
      <c r="AN106" s="253">
        <v>0.3</v>
      </c>
      <c r="AO106" s="253">
        <v>3.11133E-4</v>
      </c>
      <c r="AP106" s="253">
        <v>1</v>
      </c>
      <c r="AQ106" s="253">
        <v>196.23</v>
      </c>
      <c r="AR106" s="253">
        <v>3.11133E-4</v>
      </c>
      <c r="AS106" s="253">
        <v>1</v>
      </c>
      <c r="AT106" s="252"/>
      <c r="AU106" s="252"/>
      <c r="AV106" s="252"/>
      <c r="AW106" s="252"/>
      <c r="AX106" s="252"/>
      <c r="AY106" s="252"/>
      <c r="AZ106" s="252"/>
      <c r="BA106" s="252"/>
      <c r="BB106" s="252"/>
      <c r="BC106" s="252"/>
      <c r="BD106" s="252"/>
      <c r="BE106" s="252"/>
      <c r="BF106" s="252"/>
      <c r="BG106" s="252"/>
      <c r="BH106" s="252"/>
      <c r="BI106" s="252"/>
      <c r="BJ106" s="252"/>
      <c r="BK106" s="252"/>
      <c r="BL106" s="253">
        <v>9.3222629000000001E-2</v>
      </c>
      <c r="BM106" s="253">
        <v>1</v>
      </c>
      <c r="BN106" s="253">
        <v>1274</v>
      </c>
      <c r="BO106" s="253">
        <v>1.289559685</v>
      </c>
      <c r="BP106" s="253">
        <v>1</v>
      </c>
      <c r="BQ106" s="253">
        <v>1274</v>
      </c>
      <c r="BR106" s="253">
        <v>0.91894920599999996</v>
      </c>
      <c r="BS106">
        <v>0</v>
      </c>
      <c r="BT106" s="253">
        <v>1</v>
      </c>
      <c r="BU106" s="253">
        <v>1274</v>
      </c>
      <c r="BV106" s="253">
        <v>0.19731314</v>
      </c>
      <c r="BW106" s="253">
        <v>0.19731314</v>
      </c>
      <c r="BX106" s="253">
        <v>296</v>
      </c>
      <c r="BY106" s="253">
        <v>0</v>
      </c>
      <c r="BZ106" s="253">
        <v>1</v>
      </c>
      <c r="CA106" s="253">
        <v>1274</v>
      </c>
      <c r="CB106" s="253">
        <v>0</v>
      </c>
      <c r="CC106" s="253">
        <v>1</v>
      </c>
      <c r="CD106" s="253">
        <v>1274</v>
      </c>
      <c r="CE106" s="253">
        <v>0</v>
      </c>
      <c r="CF106" s="253">
        <v>1</v>
      </c>
      <c r="CG106" s="253">
        <v>1274</v>
      </c>
      <c r="CH106" s="253"/>
      <c r="CI106" s="253">
        <v>3.11133E-4</v>
      </c>
      <c r="CJ106" s="253">
        <v>1</v>
      </c>
      <c r="CK106" s="253">
        <v>0.73</v>
      </c>
      <c r="CL106" s="253">
        <v>3.11133E-4</v>
      </c>
      <c r="CM106" s="253">
        <v>1</v>
      </c>
      <c r="CN106" s="253">
        <v>0.26413995800000001</v>
      </c>
      <c r="CO106" s="253">
        <v>0.99968886700000004</v>
      </c>
      <c r="CP106" s="253">
        <v>1273</v>
      </c>
      <c r="CQ106" s="253">
        <v>14</v>
      </c>
      <c r="CR106" s="253">
        <v>3.7061075999999998E-2</v>
      </c>
      <c r="CS106" s="253">
        <v>36</v>
      </c>
      <c r="CT106" s="253">
        <v>6861538350</v>
      </c>
      <c r="CU106" s="253">
        <v>3.6436093000000003E-2</v>
      </c>
      <c r="CV106" s="253">
        <v>34</v>
      </c>
      <c r="CW106" s="253">
        <v>0.77425536120000005</v>
      </c>
      <c r="CX106" s="253">
        <v>0.96968886700000001</v>
      </c>
      <c r="CY106" s="253">
        <v>1240</v>
      </c>
      <c r="CZ106" s="252"/>
      <c r="DA106" s="252"/>
      <c r="DB106" s="252"/>
      <c r="DC106" s="253">
        <v>56</v>
      </c>
      <c r="DD106" s="253">
        <v>3.11133E-4</v>
      </c>
      <c r="DE106" s="253">
        <v>1</v>
      </c>
      <c r="DF106" s="171" t="s">
        <v>214</v>
      </c>
      <c r="DG106" s="252" t="s">
        <v>395</v>
      </c>
    </row>
    <row r="107" spans="2:115" x14ac:dyDescent="0.35">
      <c r="B107" s="252" t="str">
        <f t="shared" si="2"/>
        <v>iBoxx MSCI EUR Corporates Carbon and Governance Tilted45596</v>
      </c>
      <c r="C107" s="253">
        <v>61</v>
      </c>
      <c r="D107" s="253" t="s">
        <v>505</v>
      </c>
      <c r="E107" s="253" t="s">
        <v>235</v>
      </c>
      <c r="F107" s="254">
        <v>45596</v>
      </c>
      <c r="G107" s="253">
        <v>3918</v>
      </c>
      <c r="H107" s="253">
        <v>0</v>
      </c>
      <c r="I107" s="253">
        <v>3918</v>
      </c>
      <c r="J107" s="255">
        <v>0</v>
      </c>
      <c r="K107" s="255">
        <v>1</v>
      </c>
      <c r="L107" s="253" t="s">
        <v>444</v>
      </c>
      <c r="M107" s="253">
        <v>7.6193210139999996</v>
      </c>
      <c r="N107" s="253">
        <v>0.94230503499999996</v>
      </c>
      <c r="O107" s="253">
        <v>3701</v>
      </c>
      <c r="P107" s="253">
        <v>7.413144945</v>
      </c>
      <c r="Q107" s="253">
        <v>0.94230503499999996</v>
      </c>
      <c r="R107" s="253">
        <v>3701</v>
      </c>
      <c r="S107" s="253">
        <v>5.1463560849999999</v>
      </c>
      <c r="T107" s="253">
        <v>0.94230503499999996</v>
      </c>
      <c r="U107" s="253">
        <v>3701</v>
      </c>
      <c r="V107" s="253">
        <v>6.4958700279999997</v>
      </c>
      <c r="W107" s="253">
        <v>0.94230503499999996</v>
      </c>
      <c r="X107" s="253">
        <v>3701</v>
      </c>
      <c r="Y107" s="253">
        <v>0</v>
      </c>
      <c r="Z107" s="253"/>
      <c r="AA107" s="253"/>
      <c r="AB107" s="253">
        <v>0</v>
      </c>
      <c r="AC107" s="253"/>
      <c r="AD107" s="253"/>
      <c r="AE107" s="253">
        <v>0.13624687659999998</v>
      </c>
      <c r="AF107" s="253">
        <v>0.77279615199999996</v>
      </c>
      <c r="AG107" s="253">
        <v>3056</v>
      </c>
      <c r="AH107" s="253">
        <v>4.4441294180000002</v>
      </c>
      <c r="AI107" s="253">
        <v>0.37266314099999998</v>
      </c>
      <c r="AJ107" s="253">
        <v>1498</v>
      </c>
      <c r="AK107" s="253">
        <v>0</v>
      </c>
      <c r="AL107" s="253"/>
      <c r="AM107" s="253"/>
      <c r="AN107" s="253">
        <v>0</v>
      </c>
      <c r="AO107" s="253"/>
      <c r="AP107" s="253"/>
      <c r="AQ107" s="253">
        <v>0</v>
      </c>
      <c r="AR107" s="253"/>
      <c r="AS107" s="253"/>
      <c r="AT107" s="252"/>
      <c r="AU107" s="252"/>
      <c r="AV107" s="252"/>
      <c r="AW107" s="252"/>
      <c r="AX107" s="252"/>
      <c r="AY107" s="252"/>
      <c r="AZ107" s="252"/>
      <c r="BA107" s="252"/>
      <c r="BB107" s="252"/>
      <c r="BC107" s="252"/>
      <c r="BD107" s="252"/>
      <c r="BE107" s="252"/>
      <c r="BF107" s="252"/>
      <c r="BG107" s="252"/>
      <c r="BH107" s="252"/>
      <c r="BI107" s="252"/>
      <c r="BJ107" s="252"/>
      <c r="BK107" s="252"/>
      <c r="BL107" s="253">
        <v>0.457127118</v>
      </c>
      <c r="BM107" s="253">
        <v>1</v>
      </c>
      <c r="BN107" s="253">
        <v>3918</v>
      </c>
      <c r="BO107" s="253">
        <v>38.869720739999998</v>
      </c>
      <c r="BP107" s="253">
        <v>0.97793907400000002</v>
      </c>
      <c r="BQ107" s="253">
        <v>3838</v>
      </c>
      <c r="BR107" s="253">
        <v>0.85135656800000004</v>
      </c>
      <c r="BS107" s="253">
        <v>5.7967036999999999E-2</v>
      </c>
      <c r="BT107" s="253">
        <v>1</v>
      </c>
      <c r="BU107" s="253">
        <v>3918</v>
      </c>
      <c r="BV107" s="253">
        <v>0.16119414900000001</v>
      </c>
      <c r="BW107" s="253">
        <v>0.16119414900000001</v>
      </c>
      <c r="BX107" s="253">
        <v>656</v>
      </c>
      <c r="BY107" s="253">
        <v>0</v>
      </c>
      <c r="BZ107" s="253">
        <v>0.97924932899999995</v>
      </c>
      <c r="CA107" s="253">
        <v>3842</v>
      </c>
      <c r="CB107" s="253">
        <v>1.2356156E-2</v>
      </c>
      <c r="CC107" s="253">
        <v>0.97924932899999995</v>
      </c>
      <c r="CD107" s="253">
        <v>3842</v>
      </c>
      <c r="CE107" s="253">
        <v>0</v>
      </c>
      <c r="CF107" s="253">
        <v>0.97571645500000004</v>
      </c>
      <c r="CG107" s="253">
        <v>3828</v>
      </c>
      <c r="CH107" s="253"/>
      <c r="CI107" s="253"/>
      <c r="CJ107" s="253"/>
      <c r="CK107" s="253">
        <v>0</v>
      </c>
      <c r="CL107" s="253"/>
      <c r="CM107" s="253"/>
      <c r="CN107" s="253">
        <v>0.14725428600000001</v>
      </c>
      <c r="CO107" s="253">
        <v>0.94230503499999996</v>
      </c>
      <c r="CP107" s="253">
        <v>3701</v>
      </c>
      <c r="CQ107" s="253">
        <v>42</v>
      </c>
      <c r="CR107" s="253">
        <v>3.5915820000000001E-2</v>
      </c>
      <c r="CS107" s="253">
        <v>129</v>
      </c>
      <c r="CT107" s="253">
        <v>10425432771</v>
      </c>
      <c r="CU107" s="253">
        <v>2.8554539E-2</v>
      </c>
      <c r="CV107" s="253">
        <v>108</v>
      </c>
      <c r="CW107" s="253">
        <v>0.73907734030000005</v>
      </c>
      <c r="CX107" s="253">
        <v>0.92080250699999999</v>
      </c>
      <c r="CY107" s="253">
        <v>3649</v>
      </c>
      <c r="CZ107" s="252"/>
      <c r="DA107" s="252"/>
      <c r="DB107" s="252"/>
      <c r="DC107" s="253">
        <v>0</v>
      </c>
      <c r="DD107" s="253"/>
      <c r="DE107" s="253"/>
      <c r="DF107" s="171" t="s">
        <v>236</v>
      </c>
      <c r="DG107" s="252" t="s">
        <v>395</v>
      </c>
    </row>
    <row r="108" spans="2:115" x14ac:dyDescent="0.35">
      <c r="B108" s="252" t="str">
        <f t="shared" si="2"/>
        <v>iBoxx MSCI ESG EUR High Yield Corporates TCA45596</v>
      </c>
      <c r="C108" s="253">
        <v>75</v>
      </c>
      <c r="D108" s="253" t="s">
        <v>506</v>
      </c>
      <c r="E108" s="253" t="s">
        <v>219</v>
      </c>
      <c r="F108" s="254">
        <v>45596</v>
      </c>
      <c r="G108" s="253">
        <v>277</v>
      </c>
      <c r="H108" s="253">
        <v>0</v>
      </c>
      <c r="I108" s="253">
        <v>277</v>
      </c>
      <c r="J108" s="255">
        <v>0</v>
      </c>
      <c r="K108" s="255">
        <v>1</v>
      </c>
      <c r="L108" s="253" t="s">
        <v>444</v>
      </c>
      <c r="M108" s="253">
        <v>6.9337722199999998</v>
      </c>
      <c r="N108" s="253">
        <v>1</v>
      </c>
      <c r="O108" s="253">
        <v>277</v>
      </c>
      <c r="P108" s="253">
        <v>6.8644564929999996</v>
      </c>
      <c r="Q108" s="253">
        <v>1</v>
      </c>
      <c r="R108" s="253">
        <v>277</v>
      </c>
      <c r="S108" s="253">
        <v>5.1444335649999999</v>
      </c>
      <c r="T108" s="253">
        <v>1</v>
      </c>
      <c r="U108" s="253">
        <v>277</v>
      </c>
      <c r="V108" s="253">
        <v>6.1619028910000004</v>
      </c>
      <c r="W108" s="253">
        <v>1</v>
      </c>
      <c r="X108" s="253">
        <v>277</v>
      </c>
      <c r="Y108" s="253">
        <v>0</v>
      </c>
      <c r="Z108" s="253"/>
      <c r="AA108" s="253"/>
      <c r="AB108" s="253">
        <v>0</v>
      </c>
      <c r="AC108" s="253"/>
      <c r="AD108" s="253"/>
      <c r="AE108" s="253">
        <v>0.12383590039999999</v>
      </c>
      <c r="AF108" s="253">
        <v>0.79145010900000001</v>
      </c>
      <c r="AG108" s="253">
        <v>219</v>
      </c>
      <c r="AH108" s="253">
        <v>9.2072246450000002</v>
      </c>
      <c r="AI108" s="253">
        <v>0.48522404099999999</v>
      </c>
      <c r="AJ108" s="253">
        <v>134</v>
      </c>
      <c r="AK108" s="253">
        <v>0</v>
      </c>
      <c r="AL108" s="253"/>
      <c r="AM108" s="253"/>
      <c r="AN108" s="253">
        <v>0</v>
      </c>
      <c r="AO108" s="253"/>
      <c r="AP108" s="253"/>
      <c r="AQ108" s="253">
        <v>0</v>
      </c>
      <c r="AR108" s="253"/>
      <c r="AS108" s="253"/>
      <c r="AT108" s="252"/>
      <c r="AU108" s="252"/>
      <c r="AV108" s="252"/>
      <c r="AW108" s="252"/>
      <c r="AX108" s="252"/>
      <c r="AY108" s="252"/>
      <c r="AZ108" s="252"/>
      <c r="BA108" s="252"/>
      <c r="BB108" s="252"/>
      <c r="BC108" s="252"/>
      <c r="BD108" s="252"/>
      <c r="BE108" s="252"/>
      <c r="BF108" s="252"/>
      <c r="BG108" s="252"/>
      <c r="BH108" s="252"/>
      <c r="BI108" s="252"/>
      <c r="BJ108" s="252"/>
      <c r="BK108" s="252"/>
      <c r="BL108" s="253">
        <v>0.48588203400000002</v>
      </c>
      <c r="BM108" s="253">
        <v>1</v>
      </c>
      <c r="BN108" s="253">
        <v>277</v>
      </c>
      <c r="BO108" s="253">
        <v>62.842605630000001</v>
      </c>
      <c r="BP108" s="253">
        <v>1</v>
      </c>
      <c r="BQ108" s="253">
        <v>277</v>
      </c>
      <c r="BR108" s="253">
        <v>0.96491183300000005</v>
      </c>
      <c r="BS108" s="253">
        <v>2.2790187E-2</v>
      </c>
      <c r="BT108" s="253">
        <v>1</v>
      </c>
      <c r="BU108" s="253">
        <v>277</v>
      </c>
      <c r="BV108" s="253">
        <v>0.156573773</v>
      </c>
      <c r="BW108" s="253">
        <v>0.156573773</v>
      </c>
      <c r="BX108" s="253">
        <v>42</v>
      </c>
      <c r="BY108" s="253">
        <v>0</v>
      </c>
      <c r="BZ108" s="253">
        <v>1</v>
      </c>
      <c r="CA108" s="253">
        <v>277</v>
      </c>
      <c r="CB108" s="253">
        <v>0</v>
      </c>
      <c r="CC108" s="253">
        <v>1</v>
      </c>
      <c r="CD108" s="253">
        <v>277</v>
      </c>
      <c r="CE108" s="253">
        <v>0</v>
      </c>
      <c r="CF108" s="253">
        <v>1</v>
      </c>
      <c r="CG108" s="253">
        <v>277</v>
      </c>
      <c r="CH108" s="253"/>
      <c r="CI108" s="253"/>
      <c r="CJ108" s="253"/>
      <c r="CK108" s="253">
        <v>0</v>
      </c>
      <c r="CL108" s="253"/>
      <c r="CM108" s="253"/>
      <c r="CN108" s="253">
        <v>0.211487864</v>
      </c>
      <c r="CO108" s="253">
        <v>1</v>
      </c>
      <c r="CP108" s="253">
        <v>277</v>
      </c>
      <c r="CQ108" s="30">
        <v>0</v>
      </c>
      <c r="CR108" s="30"/>
      <c r="CS108" s="30"/>
      <c r="CT108" s="30">
        <v>0</v>
      </c>
      <c r="CU108" s="30"/>
      <c r="CV108" s="30"/>
      <c r="CW108" s="253">
        <v>0.5657275879</v>
      </c>
      <c r="CX108" s="253">
        <v>1</v>
      </c>
      <c r="CY108" s="253">
        <v>277</v>
      </c>
      <c r="CZ108" s="252"/>
      <c r="DA108" s="252"/>
      <c r="DB108" s="252"/>
      <c r="DC108" s="253">
        <v>0</v>
      </c>
      <c r="DD108" s="253"/>
      <c r="DE108" s="253"/>
      <c r="DF108" s="171" t="s">
        <v>220</v>
      </c>
      <c r="DG108" s="252" t="s">
        <v>395</v>
      </c>
    </row>
    <row r="109" spans="2:115" x14ac:dyDescent="0.35">
      <c r="B109" s="252" t="str">
        <f t="shared" si="2"/>
        <v>iBoxx MSCI EUR High Yield Paris Aligned Capped TCA45596</v>
      </c>
      <c r="C109" s="253">
        <v>76</v>
      </c>
      <c r="D109" s="253" t="s">
        <v>507</v>
      </c>
      <c r="E109" s="253" t="s">
        <v>237</v>
      </c>
      <c r="F109" s="254">
        <v>45596</v>
      </c>
      <c r="G109" s="253">
        <v>398</v>
      </c>
      <c r="H109" s="253">
        <v>0</v>
      </c>
      <c r="I109" s="253">
        <v>398</v>
      </c>
      <c r="J109" s="255">
        <v>0</v>
      </c>
      <c r="K109" s="255">
        <v>1</v>
      </c>
      <c r="L109" s="253" t="s">
        <v>444</v>
      </c>
      <c r="M109" s="253">
        <v>6.7146984659999998</v>
      </c>
      <c r="N109" s="253">
        <v>1</v>
      </c>
      <c r="O109" s="253">
        <v>398</v>
      </c>
      <c r="P109" s="253">
        <v>6.9133460419999997</v>
      </c>
      <c r="Q109" s="253">
        <v>1</v>
      </c>
      <c r="R109" s="253">
        <v>398</v>
      </c>
      <c r="S109" s="253">
        <v>5.0113763479999998</v>
      </c>
      <c r="T109" s="253">
        <v>1</v>
      </c>
      <c r="U109" s="253">
        <v>398</v>
      </c>
      <c r="V109" s="253">
        <v>5.9729149059999997</v>
      </c>
      <c r="W109" s="253">
        <v>1</v>
      </c>
      <c r="X109" s="253">
        <v>398</v>
      </c>
      <c r="Y109" s="253">
        <v>0</v>
      </c>
      <c r="Z109" s="253"/>
      <c r="AA109" s="253"/>
      <c r="AB109" s="253">
        <v>0</v>
      </c>
      <c r="AC109" s="253"/>
      <c r="AD109" s="253"/>
      <c r="AE109" s="253">
        <v>0.13138175690000001</v>
      </c>
      <c r="AF109" s="253">
        <v>0.75053002499999999</v>
      </c>
      <c r="AG109" s="253">
        <v>297</v>
      </c>
      <c r="AH109" s="253">
        <v>8.3290743749999994</v>
      </c>
      <c r="AI109" s="253">
        <v>0.43767222500000003</v>
      </c>
      <c r="AJ109" s="253">
        <v>161</v>
      </c>
      <c r="AK109" s="253">
        <v>0</v>
      </c>
      <c r="AL109" s="253"/>
      <c r="AM109" s="253"/>
      <c r="AN109" s="253">
        <v>0</v>
      </c>
      <c r="AO109" s="253"/>
      <c r="AP109" s="253"/>
      <c r="AQ109" s="253">
        <v>0</v>
      </c>
      <c r="AR109" s="253"/>
      <c r="AS109" s="253"/>
      <c r="AT109" s="252"/>
      <c r="AU109" s="252"/>
      <c r="AV109" s="252"/>
      <c r="AW109" s="252"/>
      <c r="AX109" s="252"/>
      <c r="AY109" s="252"/>
      <c r="AZ109" s="252"/>
      <c r="BA109" s="252"/>
      <c r="BB109" s="252"/>
      <c r="BC109" s="252"/>
      <c r="BD109" s="252"/>
      <c r="BE109" s="252"/>
      <c r="BF109" s="252"/>
      <c r="BG109" s="252"/>
      <c r="BH109" s="252"/>
      <c r="BI109" s="252"/>
      <c r="BJ109" s="252"/>
      <c r="BK109" s="252"/>
      <c r="BL109" s="253">
        <v>0.48507674000000001</v>
      </c>
      <c r="BM109" s="253">
        <v>1</v>
      </c>
      <c r="BN109" s="253">
        <v>398</v>
      </c>
      <c r="BO109" s="253">
        <v>53.874642170000001</v>
      </c>
      <c r="BP109" s="253">
        <v>1</v>
      </c>
      <c r="BQ109" s="253">
        <v>398</v>
      </c>
      <c r="BR109" s="253">
        <v>0.93936220500000001</v>
      </c>
      <c r="BS109" s="253">
        <v>1.5430074E-2</v>
      </c>
      <c r="BT109" s="253">
        <v>1</v>
      </c>
      <c r="BU109" s="253">
        <v>398</v>
      </c>
      <c r="BV109" s="253">
        <v>0.13802356599999999</v>
      </c>
      <c r="BW109" s="253">
        <v>0.13802356599999999</v>
      </c>
      <c r="BX109" s="253">
        <v>60</v>
      </c>
      <c r="BY109" s="253">
        <v>0</v>
      </c>
      <c r="BZ109" s="253">
        <v>1</v>
      </c>
      <c r="CA109" s="253">
        <v>398</v>
      </c>
      <c r="CB109" s="253">
        <v>0</v>
      </c>
      <c r="CC109" s="253">
        <v>1</v>
      </c>
      <c r="CD109" s="253">
        <v>398</v>
      </c>
      <c r="CE109" s="253">
        <v>0</v>
      </c>
      <c r="CF109" s="253">
        <v>1</v>
      </c>
      <c r="CG109" s="253">
        <v>398</v>
      </c>
      <c r="CH109" s="253"/>
      <c r="CI109" s="253"/>
      <c r="CJ109" s="253"/>
      <c r="CK109" s="253">
        <v>0</v>
      </c>
      <c r="CL109" s="253"/>
      <c r="CM109" s="253"/>
      <c r="CN109" s="253">
        <v>0.20078330799999999</v>
      </c>
      <c r="CO109" s="253">
        <v>1</v>
      </c>
      <c r="CP109" s="253">
        <v>398</v>
      </c>
      <c r="CQ109" s="253">
        <v>2</v>
      </c>
      <c r="CR109" s="253">
        <v>4.0357780000000003E-3</v>
      </c>
      <c r="CS109" s="253">
        <v>1</v>
      </c>
      <c r="CT109" s="253">
        <v>54789614.060000002</v>
      </c>
      <c r="CU109" s="253">
        <v>4.0357780000000003E-3</v>
      </c>
      <c r="CV109" s="253">
        <v>1</v>
      </c>
      <c r="CW109" s="253">
        <v>0.55719915789999996</v>
      </c>
      <c r="CX109" s="253">
        <v>0.99558837</v>
      </c>
      <c r="CY109" s="253">
        <v>393</v>
      </c>
      <c r="CZ109" s="252"/>
      <c r="DA109" s="252"/>
      <c r="DB109" s="252"/>
      <c r="DC109" s="253">
        <v>0</v>
      </c>
      <c r="DD109" s="253"/>
      <c r="DE109" s="253"/>
      <c r="DF109" s="171" t="s">
        <v>238</v>
      </c>
      <c r="DG109" s="252" t="s">
        <v>395</v>
      </c>
    </row>
    <row r="110" spans="2:115" x14ac:dyDescent="0.35">
      <c r="B110" s="252" t="str">
        <f t="shared" si="2"/>
        <v>iBoxx MSCI ESG EUR Liquid Investment Grade Ultrashort45596</v>
      </c>
      <c r="C110" s="253">
        <v>99</v>
      </c>
      <c r="D110" s="253" t="s">
        <v>508</v>
      </c>
      <c r="E110" s="253" t="s">
        <v>221</v>
      </c>
      <c r="F110" s="254">
        <v>45596</v>
      </c>
      <c r="G110" s="253">
        <v>458</v>
      </c>
      <c r="H110" s="253">
        <v>0</v>
      </c>
      <c r="I110" s="253">
        <v>458</v>
      </c>
      <c r="J110" s="255">
        <v>0</v>
      </c>
      <c r="K110" s="255">
        <v>1</v>
      </c>
      <c r="L110" s="253" t="s">
        <v>444</v>
      </c>
      <c r="M110" s="253">
        <v>7.5321610789999998</v>
      </c>
      <c r="N110" s="253">
        <v>1</v>
      </c>
      <c r="O110" s="253">
        <v>458</v>
      </c>
      <c r="P110" s="253">
        <v>7.5757885910000002</v>
      </c>
      <c r="Q110" s="253">
        <v>1</v>
      </c>
      <c r="R110" s="253">
        <v>458</v>
      </c>
      <c r="S110" s="253">
        <v>5.0793626329999997</v>
      </c>
      <c r="T110" s="253">
        <v>1</v>
      </c>
      <c r="U110" s="253">
        <v>458</v>
      </c>
      <c r="V110" s="253">
        <v>6.1226239519999996</v>
      </c>
      <c r="W110" s="253">
        <v>1</v>
      </c>
      <c r="X110" s="253">
        <v>458</v>
      </c>
      <c r="Y110" s="253">
        <v>0</v>
      </c>
      <c r="Z110" s="253"/>
      <c r="AA110" s="253"/>
      <c r="AB110" s="253">
        <v>0</v>
      </c>
      <c r="AC110" s="253"/>
      <c r="AD110" s="253"/>
      <c r="AE110" s="253">
        <v>0.13430486829999999</v>
      </c>
      <c r="AF110" s="253">
        <v>0.76606044200000001</v>
      </c>
      <c r="AG110" s="253">
        <v>351</v>
      </c>
      <c r="AH110" s="253">
        <v>4.2022699670000003</v>
      </c>
      <c r="AI110" s="253">
        <v>0.29400535500000002</v>
      </c>
      <c r="AJ110" s="253">
        <v>152</v>
      </c>
      <c r="AK110" s="253">
        <v>0</v>
      </c>
      <c r="AL110" s="253"/>
      <c r="AM110" s="253"/>
      <c r="AN110" s="253">
        <v>0</v>
      </c>
      <c r="AO110" s="253"/>
      <c r="AP110" s="253"/>
      <c r="AQ110" s="253">
        <v>0</v>
      </c>
      <c r="AR110" s="253"/>
      <c r="AS110" s="253"/>
      <c r="AT110" s="252"/>
      <c r="AU110" s="252"/>
      <c r="AV110" s="252"/>
      <c r="AW110" s="252"/>
      <c r="AX110" s="252"/>
      <c r="AY110" s="252"/>
      <c r="AZ110" s="252"/>
      <c r="BA110" s="252"/>
      <c r="BB110" s="252"/>
      <c r="BC110" s="252"/>
      <c r="BD110" s="252"/>
      <c r="BE110" s="252"/>
      <c r="BF110" s="252"/>
      <c r="BG110" s="252"/>
      <c r="BH110" s="252"/>
      <c r="BI110" s="252"/>
      <c r="BJ110" s="252"/>
      <c r="BK110" s="252"/>
      <c r="BL110" s="253">
        <v>0.34929403399999998</v>
      </c>
      <c r="BM110" s="253">
        <v>1</v>
      </c>
      <c r="BN110" s="253">
        <v>458</v>
      </c>
      <c r="BO110" s="253">
        <v>38.791520480000003</v>
      </c>
      <c r="BP110" s="253">
        <v>1</v>
      </c>
      <c r="BQ110" s="253">
        <v>458</v>
      </c>
      <c r="BR110" s="253">
        <v>0.91380882399999996</v>
      </c>
      <c r="BS110" s="253">
        <v>2.9149956000000001E-2</v>
      </c>
      <c r="BT110" s="253">
        <v>1</v>
      </c>
      <c r="BU110" s="253">
        <v>458</v>
      </c>
      <c r="BV110" s="253">
        <v>7.0613868999999996E-2</v>
      </c>
      <c r="BW110" s="253">
        <v>7.0613868999999996E-2</v>
      </c>
      <c r="BX110" s="253">
        <v>42</v>
      </c>
      <c r="BY110" s="253">
        <v>0</v>
      </c>
      <c r="BZ110" s="253">
        <v>1</v>
      </c>
      <c r="CA110" s="253">
        <v>458</v>
      </c>
      <c r="CB110" s="253">
        <v>0</v>
      </c>
      <c r="CC110" s="253">
        <v>1</v>
      </c>
      <c r="CD110" s="253">
        <v>458</v>
      </c>
      <c r="CE110" s="253">
        <v>0</v>
      </c>
      <c r="CF110" s="253">
        <v>1</v>
      </c>
      <c r="CG110" s="253">
        <v>458</v>
      </c>
      <c r="CH110" s="253"/>
      <c r="CI110" s="253"/>
      <c r="CJ110" s="253"/>
      <c r="CK110" s="253">
        <v>0</v>
      </c>
      <c r="CL110" s="253"/>
      <c r="CM110" s="253"/>
      <c r="CN110" s="253">
        <v>0.19802645599999999</v>
      </c>
      <c r="CO110" s="253">
        <v>1</v>
      </c>
      <c r="CP110" s="253">
        <v>458</v>
      </c>
      <c r="CQ110" s="253">
        <v>13</v>
      </c>
      <c r="CR110" s="253">
        <v>3.5775600999999997E-2</v>
      </c>
      <c r="CS110" s="253">
        <v>12</v>
      </c>
      <c r="CT110" s="253">
        <v>7336626414</v>
      </c>
      <c r="CU110" s="253">
        <v>3.4871487E-2</v>
      </c>
      <c r="CV110" s="253">
        <v>11</v>
      </c>
      <c r="CW110" s="253">
        <v>0.72276560980000004</v>
      </c>
      <c r="CX110" s="253">
        <v>0.97517782399999997</v>
      </c>
      <c r="CY110" s="253">
        <v>451</v>
      </c>
      <c r="CZ110" s="252"/>
      <c r="DA110" s="252"/>
      <c r="DB110" s="252"/>
      <c r="DC110" s="253">
        <v>0</v>
      </c>
      <c r="DD110" s="253"/>
      <c r="DE110" s="253"/>
      <c r="DF110" s="171" t="s">
        <v>222</v>
      </c>
      <c r="DG110" s="252" t="s">
        <v>395</v>
      </c>
    </row>
    <row r="111" spans="2:115" x14ac:dyDescent="0.35">
      <c r="B111" s="252" t="str">
        <f t="shared" si="2"/>
        <v>iBoxx MSCI ESG EUR Corporates 0-1 TCA45596</v>
      </c>
      <c r="C111" s="253">
        <v>100</v>
      </c>
      <c r="D111" s="253" t="s">
        <v>509</v>
      </c>
      <c r="E111" s="253" t="s">
        <v>208</v>
      </c>
      <c r="F111" s="254">
        <v>45596</v>
      </c>
      <c r="G111" s="253">
        <v>271</v>
      </c>
      <c r="H111" s="253">
        <v>0</v>
      </c>
      <c r="I111" s="253">
        <v>271</v>
      </c>
      <c r="J111" s="255">
        <v>0</v>
      </c>
      <c r="K111" s="255">
        <v>1</v>
      </c>
      <c r="L111" s="253" t="s">
        <v>444</v>
      </c>
      <c r="M111" s="253">
        <v>7.4946938320000003</v>
      </c>
      <c r="N111" s="253">
        <v>1</v>
      </c>
      <c r="O111" s="253">
        <v>271</v>
      </c>
      <c r="P111" s="253">
        <v>7.5002759760000002</v>
      </c>
      <c r="Q111" s="253">
        <v>1</v>
      </c>
      <c r="R111" s="253">
        <v>271</v>
      </c>
      <c r="S111" s="253">
        <v>5.1640665930000003</v>
      </c>
      <c r="T111" s="253">
        <v>1</v>
      </c>
      <c r="U111" s="253">
        <v>271</v>
      </c>
      <c r="V111" s="253">
        <v>6.1283077270000001</v>
      </c>
      <c r="W111" s="253">
        <v>1</v>
      </c>
      <c r="X111" s="253">
        <v>271</v>
      </c>
      <c r="Y111" s="253">
        <v>0</v>
      </c>
      <c r="Z111" s="253"/>
      <c r="AA111" s="253"/>
      <c r="AB111" s="253">
        <v>0</v>
      </c>
      <c r="AC111" s="253"/>
      <c r="AD111" s="253"/>
      <c r="AE111" s="253">
        <v>0.13824473330000001</v>
      </c>
      <c r="AF111" s="253">
        <v>0.793485208</v>
      </c>
      <c r="AG111" s="253">
        <v>218</v>
      </c>
      <c r="AH111" s="253">
        <v>3.5592166330000001</v>
      </c>
      <c r="AI111" s="253">
        <v>0.34143085400000001</v>
      </c>
      <c r="AJ111" s="253">
        <v>102</v>
      </c>
      <c r="AK111" s="253">
        <v>0</v>
      </c>
      <c r="AL111" s="253"/>
      <c r="AM111" s="253"/>
      <c r="AN111" s="253">
        <v>0</v>
      </c>
      <c r="AO111" s="253"/>
      <c r="AP111" s="253"/>
      <c r="AQ111" s="253">
        <v>0</v>
      </c>
      <c r="AR111" s="253"/>
      <c r="AS111" s="253"/>
      <c r="AT111" s="252"/>
      <c r="AU111" s="252"/>
      <c r="AV111" s="252"/>
      <c r="AW111" s="252"/>
      <c r="AX111" s="252"/>
      <c r="AY111" s="252"/>
      <c r="AZ111" s="252"/>
      <c r="BA111" s="252"/>
      <c r="BB111" s="252"/>
      <c r="BC111" s="252"/>
      <c r="BD111" s="252"/>
      <c r="BE111" s="252"/>
      <c r="BF111" s="252"/>
      <c r="BG111" s="252"/>
      <c r="BH111" s="252"/>
      <c r="BI111" s="252"/>
      <c r="BJ111" s="252"/>
      <c r="BK111" s="252"/>
      <c r="BL111" s="253">
        <v>0.43532790799999999</v>
      </c>
      <c r="BM111" s="253">
        <v>1</v>
      </c>
      <c r="BN111" s="253">
        <v>271</v>
      </c>
      <c r="BO111" s="253">
        <v>56.263638919999998</v>
      </c>
      <c r="BP111" s="253">
        <v>1</v>
      </c>
      <c r="BQ111" s="253">
        <v>271</v>
      </c>
      <c r="BR111" s="253">
        <v>0.90863314100000003</v>
      </c>
      <c r="BS111" s="253">
        <v>3.9555070999999997E-2</v>
      </c>
      <c r="BT111" s="253">
        <v>1</v>
      </c>
      <c r="BU111" s="253">
        <v>271</v>
      </c>
      <c r="BV111" s="253">
        <v>8.3066995000000005E-2</v>
      </c>
      <c r="BW111" s="253">
        <v>8.3066995000000005E-2</v>
      </c>
      <c r="BX111" s="253">
        <v>28</v>
      </c>
      <c r="BY111" s="253">
        <v>0</v>
      </c>
      <c r="BZ111" s="253">
        <v>1</v>
      </c>
      <c r="CA111" s="253">
        <v>271</v>
      </c>
      <c r="CB111" s="253">
        <v>0</v>
      </c>
      <c r="CC111" s="253">
        <v>1</v>
      </c>
      <c r="CD111" s="253">
        <v>271</v>
      </c>
      <c r="CE111" s="253">
        <v>0</v>
      </c>
      <c r="CF111" s="253">
        <v>1</v>
      </c>
      <c r="CG111" s="253">
        <v>271</v>
      </c>
      <c r="CH111" s="253"/>
      <c r="CI111" s="253"/>
      <c r="CJ111" s="253"/>
      <c r="CK111" s="253">
        <v>0</v>
      </c>
      <c r="CL111" s="253"/>
      <c r="CM111" s="253"/>
      <c r="CN111" s="253">
        <v>0.202237213</v>
      </c>
      <c r="CO111" s="253">
        <v>1</v>
      </c>
      <c r="CP111" s="253">
        <v>271</v>
      </c>
      <c r="CQ111" s="253">
        <v>12</v>
      </c>
      <c r="CR111" s="253">
        <v>3.3845334999999997E-2</v>
      </c>
      <c r="CS111" s="253">
        <v>6</v>
      </c>
      <c r="CT111" s="253">
        <v>7336626414</v>
      </c>
      <c r="CU111" s="253">
        <v>3.3845334999999997E-2</v>
      </c>
      <c r="CV111" s="253">
        <v>6</v>
      </c>
      <c r="CW111" s="253">
        <v>0.72191188449999999</v>
      </c>
      <c r="CX111" s="253">
        <v>0.97</v>
      </c>
      <c r="CY111" s="253">
        <v>267</v>
      </c>
      <c r="CZ111" s="252"/>
      <c r="DA111" s="252"/>
      <c r="DB111" s="252"/>
      <c r="DC111" s="253">
        <v>0</v>
      </c>
      <c r="DD111" s="253"/>
      <c r="DE111" s="253"/>
      <c r="DF111" s="171" t="s">
        <v>209</v>
      </c>
      <c r="DG111" s="252" t="s">
        <v>395</v>
      </c>
    </row>
    <row r="112" spans="2:115" s="231" customFormat="1" x14ac:dyDescent="0.35">
      <c r="B112" s="252" t="str">
        <f t="shared" si="2"/>
        <v>iBoxx MSCI ESG GBP Non-Gilts45596</v>
      </c>
      <c r="C112" s="256">
        <v>106</v>
      </c>
      <c r="D112" s="256" t="s">
        <v>510</v>
      </c>
      <c r="E112" s="256" t="s">
        <v>225</v>
      </c>
      <c r="F112" s="257">
        <v>45596</v>
      </c>
      <c r="G112" s="256">
        <v>1027</v>
      </c>
      <c r="H112" s="256">
        <v>6</v>
      </c>
      <c r="I112" s="256">
        <v>1021</v>
      </c>
      <c r="J112" s="258">
        <v>6.0388259999999997E-3</v>
      </c>
      <c r="K112" s="258">
        <v>0.99396117399999995</v>
      </c>
      <c r="L112" s="256" t="s">
        <v>451</v>
      </c>
      <c r="M112" s="256">
        <v>7.6021171369999996</v>
      </c>
      <c r="N112" s="256">
        <v>0.99297015600000005</v>
      </c>
      <c r="O112" s="256">
        <v>1019</v>
      </c>
      <c r="P112" s="256">
        <v>7.3471439160000003</v>
      </c>
      <c r="Q112" s="256">
        <v>0.99297015600000005</v>
      </c>
      <c r="R112" s="256">
        <v>1019</v>
      </c>
      <c r="S112" s="256">
        <v>5.6949742529999998</v>
      </c>
      <c r="T112" s="256">
        <v>0.99297015600000005</v>
      </c>
      <c r="U112" s="256">
        <v>1019</v>
      </c>
      <c r="V112" s="256">
        <v>6.4253721559999999</v>
      </c>
      <c r="W112" s="256">
        <v>0.99297015600000005</v>
      </c>
      <c r="X112" s="256">
        <v>1019</v>
      </c>
      <c r="Y112" s="256">
        <v>34.6376317</v>
      </c>
      <c r="Z112" s="256">
        <v>1.9683882999999999E-2</v>
      </c>
      <c r="AA112" s="256">
        <v>15</v>
      </c>
      <c r="AB112" s="256">
        <v>67.414516370000001</v>
      </c>
      <c r="AC112" s="256">
        <v>1.2986706000000001E-2</v>
      </c>
      <c r="AD112" s="256">
        <v>11</v>
      </c>
      <c r="AE112" s="256">
        <v>0.16122807880000001</v>
      </c>
      <c r="AF112" s="256">
        <v>0.80716860700000004</v>
      </c>
      <c r="AG112" s="256">
        <v>858</v>
      </c>
      <c r="AH112" s="256">
        <v>3.6845458689999999</v>
      </c>
      <c r="AI112" s="256">
        <v>0.19077730100000001</v>
      </c>
      <c r="AJ112" s="256">
        <v>202</v>
      </c>
      <c r="AK112" s="256">
        <v>7.5774730239999997</v>
      </c>
      <c r="AL112" s="256">
        <v>1.2986706000000001E-2</v>
      </c>
      <c r="AM112" s="256">
        <v>11</v>
      </c>
      <c r="AN112" s="256">
        <v>0.688595069</v>
      </c>
      <c r="AO112" s="256">
        <v>1.2986706000000001E-2</v>
      </c>
      <c r="AP112" s="256">
        <v>11</v>
      </c>
      <c r="AQ112" s="262" t="s">
        <v>460</v>
      </c>
      <c r="AR112" s="253">
        <v>0</v>
      </c>
      <c r="AS112" s="253">
        <v>0</v>
      </c>
      <c r="AT112" s="259"/>
      <c r="AU112" s="259"/>
      <c r="AV112" s="259"/>
      <c r="AW112" s="259"/>
      <c r="AX112" s="259"/>
      <c r="AY112" s="259"/>
      <c r="AZ112" s="259"/>
      <c r="BA112" s="259"/>
      <c r="BB112" s="259"/>
      <c r="BC112" s="259"/>
      <c r="BD112" s="259"/>
      <c r="BE112" s="259"/>
      <c r="BF112" s="259"/>
      <c r="BG112" s="259"/>
      <c r="BH112" s="259"/>
      <c r="BI112" s="259"/>
      <c r="BJ112" s="259"/>
      <c r="BK112" s="259"/>
      <c r="BL112" s="256">
        <v>0.30329517</v>
      </c>
      <c r="BM112" s="256">
        <v>0.99396117399999995</v>
      </c>
      <c r="BN112" s="256">
        <v>1021</v>
      </c>
      <c r="BO112" s="256">
        <v>17.43172745</v>
      </c>
      <c r="BP112" s="256">
        <v>0.97328627300000004</v>
      </c>
      <c r="BQ112" s="256">
        <v>1004</v>
      </c>
      <c r="BR112" s="256">
        <v>0.76246268699999997</v>
      </c>
      <c r="BS112" s="256">
        <v>7.460169E-3</v>
      </c>
      <c r="BT112" s="256">
        <v>0.99396117399999995</v>
      </c>
      <c r="BU112" s="256">
        <v>1021</v>
      </c>
      <c r="BV112" s="256">
        <v>4.7004829999999997E-2</v>
      </c>
      <c r="BW112" s="256">
        <v>4.7004829999999997E-2</v>
      </c>
      <c r="BX112" s="256">
        <v>57</v>
      </c>
      <c r="BY112" s="256">
        <v>0</v>
      </c>
      <c r="BZ112" s="256">
        <v>0.99643704799999999</v>
      </c>
      <c r="CA112" s="256">
        <v>1025</v>
      </c>
      <c r="CB112" s="256">
        <v>0</v>
      </c>
      <c r="CC112" s="256">
        <v>0.99643704799999999</v>
      </c>
      <c r="CD112" s="256">
        <v>1025</v>
      </c>
      <c r="CE112" s="256">
        <v>0</v>
      </c>
      <c r="CF112" s="256">
        <v>0.97328627300000004</v>
      </c>
      <c r="CG112" s="256">
        <v>1004</v>
      </c>
      <c r="CH112" s="261" t="s">
        <v>460</v>
      </c>
      <c r="CI112" s="256">
        <v>0</v>
      </c>
      <c r="CJ112" s="256">
        <v>0</v>
      </c>
      <c r="CK112" s="261" t="s">
        <v>460</v>
      </c>
      <c r="CL112" s="256">
        <v>0</v>
      </c>
      <c r="CM112" s="256">
        <v>0</v>
      </c>
      <c r="CN112" s="256">
        <v>0.41539211100000001</v>
      </c>
      <c r="CO112" s="256">
        <v>0.97675316499999998</v>
      </c>
      <c r="CP112" s="256">
        <v>1010</v>
      </c>
      <c r="CQ112" s="256">
        <v>14</v>
      </c>
      <c r="CR112" s="256">
        <v>2.1151039999999999E-2</v>
      </c>
      <c r="CS112" s="256">
        <v>20</v>
      </c>
      <c r="CT112" s="256">
        <v>7339462164</v>
      </c>
      <c r="CU112" s="256">
        <v>2.0161355999999998E-2</v>
      </c>
      <c r="CV112" s="256">
        <v>18</v>
      </c>
      <c r="CW112" s="256">
        <v>0.70603296420000006</v>
      </c>
      <c r="CX112" s="256">
        <v>0.74220356399999998</v>
      </c>
      <c r="CY112" s="256">
        <v>852</v>
      </c>
      <c r="CZ112" s="259"/>
      <c r="DA112" s="259"/>
      <c r="DB112" s="259"/>
      <c r="DC112" s="261" t="s">
        <v>460</v>
      </c>
      <c r="DD112" s="256">
        <v>0</v>
      </c>
      <c r="DE112" s="256">
        <v>0</v>
      </c>
      <c r="DF112" s="171" t="s">
        <v>226</v>
      </c>
      <c r="DG112" s="252" t="s">
        <v>395</v>
      </c>
      <c r="DK112"/>
    </row>
    <row r="113" spans="2:115" x14ac:dyDescent="0.35">
      <c r="B113" s="252" t="str">
        <f t="shared" si="2"/>
        <v>iBoxx MSCI GBP Corporates Paris Aligned Capped TCA45596</v>
      </c>
      <c r="C113" s="253">
        <v>109</v>
      </c>
      <c r="D113" s="253" t="s">
        <v>511</v>
      </c>
      <c r="E113" s="253" t="s">
        <v>245</v>
      </c>
      <c r="F113" s="254">
        <v>45596</v>
      </c>
      <c r="G113" s="253">
        <v>654</v>
      </c>
      <c r="H113" s="253">
        <v>0</v>
      </c>
      <c r="I113" s="253">
        <v>654</v>
      </c>
      <c r="J113" s="255">
        <v>0</v>
      </c>
      <c r="K113" s="255">
        <v>1</v>
      </c>
      <c r="L113" s="253" t="s">
        <v>444</v>
      </c>
      <c r="M113" s="253">
        <v>7.509203071</v>
      </c>
      <c r="N113" s="253">
        <v>0.99150364800000002</v>
      </c>
      <c r="O113" s="253">
        <v>647</v>
      </c>
      <c r="P113" s="253">
        <v>7.8730931369999997</v>
      </c>
      <c r="Q113" s="253">
        <v>0.99150364800000002</v>
      </c>
      <c r="R113" s="253">
        <v>647</v>
      </c>
      <c r="S113" s="253">
        <v>4.9228760349999998</v>
      </c>
      <c r="T113" s="253">
        <v>0.99150364800000002</v>
      </c>
      <c r="U113" s="253">
        <v>647</v>
      </c>
      <c r="V113" s="253">
        <v>6.3738080850000003</v>
      </c>
      <c r="W113" s="253">
        <v>0.99150364800000002</v>
      </c>
      <c r="X113" s="253">
        <v>647</v>
      </c>
      <c r="Y113" s="253">
        <v>0</v>
      </c>
      <c r="Z113" s="253"/>
      <c r="AA113" s="253"/>
      <c r="AB113" s="253">
        <v>0</v>
      </c>
      <c r="AC113" s="253"/>
      <c r="AD113" s="253"/>
      <c r="AE113" s="253">
        <v>0.16796145469999998</v>
      </c>
      <c r="AF113" s="253">
        <v>0.80304504899999996</v>
      </c>
      <c r="AG113" s="253">
        <v>550</v>
      </c>
      <c r="AH113" s="253">
        <v>3.9923689339999999</v>
      </c>
      <c r="AI113" s="253">
        <v>0.226997648</v>
      </c>
      <c r="AJ113" s="253">
        <v>147</v>
      </c>
      <c r="AK113" s="253">
        <v>0</v>
      </c>
      <c r="AL113" s="253"/>
      <c r="AM113" s="253"/>
      <c r="AN113" s="253">
        <v>0</v>
      </c>
      <c r="AO113" s="253"/>
      <c r="AP113" s="253"/>
      <c r="AQ113" s="253">
        <v>0</v>
      </c>
      <c r="AR113" s="253"/>
      <c r="AS113" s="253"/>
      <c r="AT113" s="252"/>
      <c r="AU113" s="252"/>
      <c r="AV113" s="252"/>
      <c r="AW113" s="252"/>
      <c r="AX113" s="252"/>
      <c r="AY113" s="252"/>
      <c r="AZ113" s="252"/>
      <c r="BA113" s="252"/>
      <c r="BB113" s="252"/>
      <c r="BC113" s="252"/>
      <c r="BD113" s="252"/>
      <c r="BE113" s="252"/>
      <c r="BF113" s="252"/>
      <c r="BG113" s="252"/>
      <c r="BH113" s="252"/>
      <c r="BI113" s="252"/>
      <c r="BJ113" s="252"/>
      <c r="BK113" s="252"/>
      <c r="BL113" s="253">
        <v>0.33650287400000001</v>
      </c>
      <c r="BM113" s="253">
        <v>1</v>
      </c>
      <c r="BN113" s="253">
        <v>654</v>
      </c>
      <c r="BO113" s="253">
        <v>13.953023010000001</v>
      </c>
      <c r="BP113" s="253">
        <v>0.99150364800000002</v>
      </c>
      <c r="BQ113" s="253">
        <v>647</v>
      </c>
      <c r="BR113" s="253">
        <v>0.91861555800000005</v>
      </c>
      <c r="BS113" s="253">
        <v>1.331327E-2</v>
      </c>
      <c r="BT113" s="253">
        <v>1</v>
      </c>
      <c r="BU113" s="253">
        <v>654</v>
      </c>
      <c r="BV113" s="253">
        <v>6.4966675000000002E-2</v>
      </c>
      <c r="BW113" s="253">
        <v>6.4966675000000002E-2</v>
      </c>
      <c r="BX113" s="253">
        <v>39</v>
      </c>
      <c r="BY113" s="253">
        <v>0</v>
      </c>
      <c r="BZ113" s="253">
        <v>0.99863640499999995</v>
      </c>
      <c r="CA113" s="253">
        <v>653</v>
      </c>
      <c r="CB113" s="253">
        <v>0</v>
      </c>
      <c r="CC113" s="253">
        <v>0.99863640499999995</v>
      </c>
      <c r="CD113" s="253">
        <v>653</v>
      </c>
      <c r="CE113" s="253">
        <v>0</v>
      </c>
      <c r="CF113" s="253">
        <v>0.99150364800000002</v>
      </c>
      <c r="CG113" s="253">
        <v>647</v>
      </c>
      <c r="CH113" s="253"/>
      <c r="CI113" s="253"/>
      <c r="CJ113" s="253"/>
      <c r="CK113" s="253">
        <v>0</v>
      </c>
      <c r="CL113" s="253"/>
      <c r="CM113" s="253"/>
      <c r="CN113" s="253">
        <v>0.41723745899999998</v>
      </c>
      <c r="CO113" s="253">
        <v>0.99863640499999995</v>
      </c>
      <c r="CP113" s="253">
        <v>653</v>
      </c>
      <c r="CQ113" s="253">
        <v>14</v>
      </c>
      <c r="CR113" s="253">
        <v>4.5213639999999999E-2</v>
      </c>
      <c r="CS113" s="253">
        <v>22</v>
      </c>
      <c r="CT113" s="253">
        <v>7343811552</v>
      </c>
      <c r="CU113" s="253">
        <v>4.3528829999999998E-2</v>
      </c>
      <c r="CV113" s="253">
        <v>21</v>
      </c>
      <c r="CW113" s="253">
        <v>0.70320382460000008</v>
      </c>
      <c r="CX113" s="253">
        <v>0.97657002800000003</v>
      </c>
      <c r="CY113" s="253">
        <v>642</v>
      </c>
      <c r="CZ113" s="252"/>
      <c r="DA113" s="252"/>
      <c r="DB113" s="252"/>
      <c r="DC113" s="253">
        <v>0</v>
      </c>
      <c r="DD113" s="253"/>
      <c r="DE113" s="253"/>
      <c r="DF113" s="171" t="s">
        <v>245</v>
      </c>
      <c r="DG113" s="252" t="s">
        <v>395</v>
      </c>
    </row>
    <row r="114" spans="2:115" x14ac:dyDescent="0.35">
      <c r="B114" s="252" t="str">
        <f t="shared" si="2"/>
        <v>iBoxx MSCI ESG GBP Liquid Investment Grade Ultrashort45596</v>
      </c>
      <c r="C114" s="253">
        <v>150</v>
      </c>
      <c r="D114" s="253" t="s">
        <v>512</v>
      </c>
      <c r="E114" s="253" t="s">
        <v>223</v>
      </c>
      <c r="F114" s="254">
        <v>45596</v>
      </c>
      <c r="G114" s="253">
        <v>149</v>
      </c>
      <c r="H114" s="253">
        <v>0</v>
      </c>
      <c r="I114" s="253">
        <v>149</v>
      </c>
      <c r="J114" s="255">
        <v>0</v>
      </c>
      <c r="K114" s="255">
        <v>1</v>
      </c>
      <c r="L114" s="253" t="s">
        <v>444</v>
      </c>
      <c r="M114" s="253">
        <v>8.0283622650000002</v>
      </c>
      <c r="N114" s="253">
        <v>1</v>
      </c>
      <c r="O114" s="253">
        <v>149</v>
      </c>
      <c r="P114" s="253">
        <v>7.2764447690000003</v>
      </c>
      <c r="Q114" s="253">
        <v>1</v>
      </c>
      <c r="R114" s="253">
        <v>149</v>
      </c>
      <c r="S114" s="253">
        <v>5.4002178890000003</v>
      </c>
      <c r="T114" s="253">
        <v>1</v>
      </c>
      <c r="U114" s="253">
        <v>149</v>
      </c>
      <c r="V114" s="253">
        <v>6.9963498030000002</v>
      </c>
      <c r="W114" s="253">
        <v>1</v>
      </c>
      <c r="X114" s="253">
        <v>149</v>
      </c>
      <c r="Y114" s="253">
        <v>30.809915289999999</v>
      </c>
      <c r="Z114" s="253">
        <v>3.7973576000000002E-2</v>
      </c>
      <c r="AA114" s="253">
        <v>6</v>
      </c>
      <c r="AB114" s="253">
        <v>81</v>
      </c>
      <c r="AC114" s="253">
        <v>5.8392139999999997E-3</v>
      </c>
      <c r="AD114" s="253">
        <v>2</v>
      </c>
      <c r="AE114" s="253">
        <v>0.15383811950000001</v>
      </c>
      <c r="AF114" s="253">
        <v>0.78496293800000005</v>
      </c>
      <c r="AG114" s="253">
        <v>114</v>
      </c>
      <c r="AH114" s="253">
        <v>2.1067605839999999</v>
      </c>
      <c r="AI114" s="253">
        <v>7.6768752999999995E-2</v>
      </c>
      <c r="AJ114" s="253">
        <v>14</v>
      </c>
      <c r="AK114" s="253">
        <v>8.7100000000000009</v>
      </c>
      <c r="AL114" s="253">
        <v>5.8392139999999997E-3</v>
      </c>
      <c r="AM114" s="253">
        <v>2</v>
      </c>
      <c r="AN114" s="253">
        <v>1.53</v>
      </c>
      <c r="AO114" s="253">
        <v>5.8392139999999997E-3</v>
      </c>
      <c r="AP114" s="253">
        <v>2</v>
      </c>
      <c r="AQ114" s="253">
        <v>192.53</v>
      </c>
      <c r="AR114" s="253">
        <v>5.8392139999999997E-3</v>
      </c>
      <c r="AS114" s="253">
        <v>2</v>
      </c>
      <c r="AT114" s="252"/>
      <c r="AU114" s="252"/>
      <c r="AV114" s="252"/>
      <c r="AW114" s="252"/>
      <c r="AX114" s="252"/>
      <c r="AY114" s="252"/>
      <c r="AZ114" s="252"/>
      <c r="BA114" s="252"/>
      <c r="BB114" s="252"/>
      <c r="BC114" s="252"/>
      <c r="BD114" s="252"/>
      <c r="BE114" s="252"/>
      <c r="BF114" s="252"/>
      <c r="BG114" s="252"/>
      <c r="BH114" s="252"/>
      <c r="BI114" s="252"/>
      <c r="BJ114" s="252"/>
      <c r="BK114" s="252"/>
      <c r="BL114" s="253">
        <v>6.9872552000000004E-2</v>
      </c>
      <c r="BM114" s="253">
        <v>1</v>
      </c>
      <c r="BN114" s="253">
        <v>149</v>
      </c>
      <c r="BO114" s="253">
        <v>3.1396190549999998</v>
      </c>
      <c r="BP114" s="253">
        <v>0.967865639</v>
      </c>
      <c r="BQ114" s="253">
        <v>145</v>
      </c>
      <c r="BR114" s="253">
        <v>0.81304135499999997</v>
      </c>
      <c r="BS114" s="253">
        <v>7.19325E-3</v>
      </c>
      <c r="BT114" s="253">
        <v>1</v>
      </c>
      <c r="BU114" s="253">
        <v>149</v>
      </c>
      <c r="BV114" s="253">
        <v>2.0715985999999999E-2</v>
      </c>
      <c r="BW114" s="253">
        <v>2.0715985999999999E-2</v>
      </c>
      <c r="BX114" s="253">
        <v>5</v>
      </c>
      <c r="BY114" s="253">
        <v>0</v>
      </c>
      <c r="BZ114" s="253">
        <v>1</v>
      </c>
      <c r="CA114" s="253">
        <v>149</v>
      </c>
      <c r="CB114" s="253">
        <v>0</v>
      </c>
      <c r="CC114" s="253">
        <v>1</v>
      </c>
      <c r="CD114" s="253">
        <v>149</v>
      </c>
      <c r="CE114" s="253">
        <v>0</v>
      </c>
      <c r="CF114" s="253">
        <v>0.967865639</v>
      </c>
      <c r="CG114" s="253">
        <v>145</v>
      </c>
      <c r="CH114" s="253"/>
      <c r="CI114" s="253">
        <v>5.8392139999999997E-3</v>
      </c>
      <c r="CJ114" s="253">
        <v>2</v>
      </c>
      <c r="CK114" s="253">
        <v>0.86</v>
      </c>
      <c r="CL114" s="253">
        <v>5.8392139999999997E-3</v>
      </c>
      <c r="CM114" s="253">
        <v>2</v>
      </c>
      <c r="CN114" s="253">
        <v>0.383024592</v>
      </c>
      <c r="CO114" s="253">
        <v>0.96202642400000005</v>
      </c>
      <c r="CP114" s="253">
        <v>143</v>
      </c>
      <c r="CQ114" s="253">
        <v>11</v>
      </c>
      <c r="CR114" s="253">
        <v>5.3158582000000003E-2</v>
      </c>
      <c r="CS114" s="253">
        <v>5</v>
      </c>
      <c r="CT114" s="253">
        <v>6850902600</v>
      </c>
      <c r="CU114" s="253">
        <v>5.3158582000000003E-2</v>
      </c>
      <c r="CV114" s="253">
        <v>5</v>
      </c>
      <c r="CW114" s="253">
        <v>0.78195988380000003</v>
      </c>
      <c r="CX114" s="253">
        <v>0.65807419300000003</v>
      </c>
      <c r="CY114" s="253">
        <v>98</v>
      </c>
      <c r="CZ114" s="252"/>
      <c r="DA114" s="252"/>
      <c r="DB114" s="252"/>
      <c r="DC114" s="253">
        <v>79</v>
      </c>
      <c r="DD114" s="253">
        <v>5.8392139999999997E-3</v>
      </c>
      <c r="DE114" s="253">
        <v>2</v>
      </c>
      <c r="DF114" s="171" t="s">
        <v>224</v>
      </c>
      <c r="DG114" s="252" t="s">
        <v>395</v>
      </c>
    </row>
    <row r="115" spans="2:115" x14ac:dyDescent="0.35">
      <c r="B115" s="252" t="str">
        <f t="shared" si="2"/>
        <v>iBoxx MSCI ESG EUR High Yield Corporates 1-3 TCA45596</v>
      </c>
      <c r="C115" s="253">
        <v>2144</v>
      </c>
      <c r="D115" s="253" t="s">
        <v>513</v>
      </c>
      <c r="E115" s="253" t="s">
        <v>217</v>
      </c>
      <c r="F115" s="254">
        <v>45596</v>
      </c>
      <c r="G115" s="253">
        <v>105</v>
      </c>
      <c r="H115" s="253">
        <v>0</v>
      </c>
      <c r="I115" s="253">
        <v>105</v>
      </c>
      <c r="J115" s="255">
        <v>0</v>
      </c>
      <c r="K115" s="255">
        <v>1</v>
      </c>
      <c r="L115" s="253" t="s">
        <v>444</v>
      </c>
      <c r="M115" s="253">
        <v>7.0567847209999996</v>
      </c>
      <c r="N115" s="253">
        <v>1</v>
      </c>
      <c r="O115" s="253">
        <v>105</v>
      </c>
      <c r="P115" s="253">
        <v>6.8220475619999998</v>
      </c>
      <c r="Q115" s="253">
        <v>1</v>
      </c>
      <c r="R115" s="253">
        <v>105</v>
      </c>
      <c r="S115" s="253">
        <v>4.9644656100000004</v>
      </c>
      <c r="T115" s="253">
        <v>1</v>
      </c>
      <c r="U115" s="253">
        <v>105</v>
      </c>
      <c r="V115" s="253">
        <v>6.4285650729999997</v>
      </c>
      <c r="W115" s="253">
        <v>1</v>
      </c>
      <c r="X115" s="253">
        <v>105</v>
      </c>
      <c r="Y115" s="253">
        <v>0</v>
      </c>
      <c r="Z115" s="253"/>
      <c r="AA115" s="253"/>
      <c r="AB115" s="253">
        <v>0</v>
      </c>
      <c r="AC115" s="253"/>
      <c r="AD115" s="253"/>
      <c r="AE115" s="253">
        <v>0.11781886229999999</v>
      </c>
      <c r="AF115" s="253">
        <v>0.79108339400000005</v>
      </c>
      <c r="AG115" s="253">
        <v>84</v>
      </c>
      <c r="AH115" s="253">
        <v>10.10642966</v>
      </c>
      <c r="AI115" s="253">
        <v>0.49628968699999998</v>
      </c>
      <c r="AJ115" s="253">
        <v>50</v>
      </c>
      <c r="AK115" s="253">
        <v>0</v>
      </c>
      <c r="AL115" s="253"/>
      <c r="AM115" s="253"/>
      <c r="AN115" s="253">
        <v>0</v>
      </c>
      <c r="AO115" s="253"/>
      <c r="AP115" s="253"/>
      <c r="AQ115" s="253">
        <v>0</v>
      </c>
      <c r="AR115" s="253"/>
      <c r="AS115" s="253"/>
      <c r="AT115" s="252"/>
      <c r="AU115" s="252"/>
      <c r="AV115" s="252"/>
      <c r="AW115" s="252"/>
      <c r="AX115" s="252"/>
      <c r="AY115" s="252"/>
      <c r="AZ115" s="252"/>
      <c r="BA115" s="252"/>
      <c r="BB115" s="252"/>
      <c r="BC115" s="252"/>
      <c r="BD115" s="252"/>
      <c r="BE115" s="252"/>
      <c r="BF115" s="252"/>
      <c r="BG115" s="252"/>
      <c r="BH115" s="252"/>
      <c r="BI115" s="252"/>
      <c r="BJ115" s="252"/>
      <c r="BK115" s="252"/>
      <c r="BL115" s="253">
        <v>0.44142617200000001</v>
      </c>
      <c r="BM115" s="253">
        <v>1</v>
      </c>
      <c r="BN115" s="253">
        <v>105</v>
      </c>
      <c r="BO115" s="253">
        <v>35.033594469999997</v>
      </c>
      <c r="BP115" s="253">
        <v>1</v>
      </c>
      <c r="BQ115" s="253">
        <v>105</v>
      </c>
      <c r="BR115" s="253">
        <v>0.95641617000000001</v>
      </c>
      <c r="BS115" s="253">
        <v>1.8061332999999999E-2</v>
      </c>
      <c r="BT115" s="253">
        <v>1</v>
      </c>
      <c r="BU115" s="253">
        <v>105</v>
      </c>
      <c r="BV115" s="253">
        <v>0.14451979300000001</v>
      </c>
      <c r="BW115" s="253">
        <v>0.14451979300000001</v>
      </c>
      <c r="BX115" s="253">
        <v>14</v>
      </c>
      <c r="BY115" s="253">
        <v>0</v>
      </c>
      <c r="BZ115" s="253">
        <v>1</v>
      </c>
      <c r="CA115" s="253">
        <v>105</v>
      </c>
      <c r="CB115" s="253">
        <v>0</v>
      </c>
      <c r="CC115" s="253">
        <v>1</v>
      </c>
      <c r="CD115" s="253">
        <v>105</v>
      </c>
      <c r="CE115" s="253">
        <v>0</v>
      </c>
      <c r="CF115" s="253">
        <v>1</v>
      </c>
      <c r="CG115" s="253">
        <v>105</v>
      </c>
      <c r="CH115" s="253"/>
      <c r="CI115" s="253"/>
      <c r="CJ115" s="253"/>
      <c r="CK115" s="253">
        <v>0</v>
      </c>
      <c r="CL115" s="253"/>
      <c r="CM115" s="253"/>
      <c r="CN115" s="253">
        <v>0.191254482</v>
      </c>
      <c r="CO115" s="253">
        <v>1</v>
      </c>
      <c r="CP115" s="253">
        <v>105</v>
      </c>
      <c r="CQ115" s="30">
        <v>0</v>
      </c>
      <c r="CR115" s="30"/>
      <c r="CS115" s="30"/>
      <c r="CT115" s="30">
        <v>0</v>
      </c>
      <c r="CU115" s="30"/>
      <c r="CV115" s="30"/>
      <c r="CW115" s="253">
        <v>0.58587240289999998</v>
      </c>
      <c r="CX115" s="253">
        <v>1</v>
      </c>
      <c r="CY115" s="253">
        <v>105</v>
      </c>
      <c r="CZ115" s="252"/>
      <c r="DA115" s="252"/>
      <c r="DB115" s="252"/>
      <c r="DC115" s="253">
        <v>0</v>
      </c>
      <c r="DD115" s="253"/>
      <c r="DE115" s="253"/>
      <c r="DF115" s="171" t="s">
        <v>218</v>
      </c>
      <c r="DG115" s="252" t="s">
        <v>395</v>
      </c>
    </row>
    <row r="116" spans="2:115" x14ac:dyDescent="0.35">
      <c r="B116" s="252" t="str">
        <f t="shared" si="2"/>
        <v>iBoxx MSCI ESG EUR FRN Investment Grade Corporates TCA45596</v>
      </c>
      <c r="C116" s="253">
        <v>7908</v>
      </c>
      <c r="D116" s="253" t="s">
        <v>514</v>
      </c>
      <c r="E116" s="253" t="s">
        <v>215</v>
      </c>
      <c r="F116" s="254">
        <v>45596</v>
      </c>
      <c r="G116" s="253">
        <v>95</v>
      </c>
      <c r="H116" s="253">
        <v>0</v>
      </c>
      <c r="I116" s="253">
        <v>95</v>
      </c>
      <c r="J116" s="255">
        <v>0</v>
      </c>
      <c r="K116" s="255">
        <v>1</v>
      </c>
      <c r="L116" s="253" t="s">
        <v>444</v>
      </c>
      <c r="M116" s="253">
        <v>7.7010227259999997</v>
      </c>
      <c r="N116" s="253">
        <v>1</v>
      </c>
      <c r="O116" s="253">
        <v>95</v>
      </c>
      <c r="P116" s="253">
        <v>7.8556641210000002</v>
      </c>
      <c r="Q116" s="253">
        <v>1</v>
      </c>
      <c r="R116" s="253">
        <v>95</v>
      </c>
      <c r="S116" s="253">
        <v>4.7932701270000004</v>
      </c>
      <c r="T116" s="253">
        <v>1</v>
      </c>
      <c r="U116" s="253">
        <v>95</v>
      </c>
      <c r="V116" s="253">
        <v>6.0784284</v>
      </c>
      <c r="W116" s="253">
        <v>1</v>
      </c>
      <c r="X116" s="253">
        <v>95</v>
      </c>
      <c r="Y116" s="253">
        <v>0</v>
      </c>
      <c r="Z116" s="253"/>
      <c r="AA116" s="253"/>
      <c r="AB116" s="253">
        <v>0</v>
      </c>
      <c r="AC116" s="253"/>
      <c r="AD116" s="253"/>
      <c r="AE116" s="253">
        <v>0.14566235450000001</v>
      </c>
      <c r="AF116" s="253">
        <v>0.68117518799999999</v>
      </c>
      <c r="AG116" s="253">
        <v>69</v>
      </c>
      <c r="AH116" s="253">
        <v>2.9974660599999998</v>
      </c>
      <c r="AI116" s="253">
        <v>0.12307480799999999</v>
      </c>
      <c r="AJ116" s="253">
        <v>13</v>
      </c>
      <c r="AK116" s="253">
        <v>0</v>
      </c>
      <c r="AL116" s="253"/>
      <c r="AM116" s="253"/>
      <c r="AN116" s="253">
        <v>0</v>
      </c>
      <c r="AO116" s="253"/>
      <c r="AP116" s="253"/>
      <c r="AQ116" s="253">
        <v>0</v>
      </c>
      <c r="AR116" s="253"/>
      <c r="AS116" s="253"/>
      <c r="AT116" s="252"/>
      <c r="AU116" s="252"/>
      <c r="AV116" s="252"/>
      <c r="AW116" s="252"/>
      <c r="AX116" s="252"/>
      <c r="AY116" s="252"/>
      <c r="AZ116" s="252"/>
      <c r="BA116" s="252"/>
      <c r="BB116" s="252"/>
      <c r="BC116" s="252"/>
      <c r="BD116" s="252"/>
      <c r="BE116" s="252"/>
      <c r="BF116" s="252"/>
      <c r="BG116" s="252"/>
      <c r="BH116" s="252"/>
      <c r="BI116" s="252"/>
      <c r="BJ116" s="252"/>
      <c r="BK116" s="252"/>
      <c r="BL116" s="253">
        <v>9.6246942000000002E-2</v>
      </c>
      <c r="BM116" s="253">
        <v>1</v>
      </c>
      <c r="BN116" s="253">
        <v>95</v>
      </c>
      <c r="BO116" s="253">
        <v>1.8074214740000001</v>
      </c>
      <c r="BP116" s="253">
        <v>1</v>
      </c>
      <c r="BQ116" s="253">
        <v>95</v>
      </c>
      <c r="BR116" s="253">
        <v>0.941500589</v>
      </c>
      <c r="BS116">
        <v>0</v>
      </c>
      <c r="BT116" s="253">
        <v>1</v>
      </c>
      <c r="BU116" s="253">
        <v>95</v>
      </c>
      <c r="BV116" s="253">
        <v>9.0055280000000001E-2</v>
      </c>
      <c r="BW116" s="253">
        <v>9.0055280000000001E-2</v>
      </c>
      <c r="BX116" s="253">
        <v>8</v>
      </c>
      <c r="BY116" s="253">
        <v>0</v>
      </c>
      <c r="BZ116" s="253">
        <v>1</v>
      </c>
      <c r="CA116" s="253">
        <v>95</v>
      </c>
      <c r="CB116" s="253">
        <v>0</v>
      </c>
      <c r="CC116" s="253">
        <v>1</v>
      </c>
      <c r="CD116" s="253">
        <v>95</v>
      </c>
      <c r="CE116" s="253">
        <v>0</v>
      </c>
      <c r="CF116" s="253">
        <v>1</v>
      </c>
      <c r="CG116" s="253">
        <v>95</v>
      </c>
      <c r="CH116" s="253"/>
      <c r="CI116" s="253"/>
      <c r="CJ116" s="253"/>
      <c r="CK116" s="253">
        <v>0</v>
      </c>
      <c r="CL116" s="253"/>
      <c r="CM116" s="253"/>
      <c r="CN116" s="253">
        <v>0.20494928000000001</v>
      </c>
      <c r="CO116" s="253">
        <v>1</v>
      </c>
      <c r="CP116" s="253">
        <v>95</v>
      </c>
      <c r="CQ116" s="253">
        <v>10</v>
      </c>
      <c r="CR116" s="253">
        <v>5.5404276000000002E-2</v>
      </c>
      <c r="CS116" s="253">
        <v>4</v>
      </c>
      <c r="CT116" s="253">
        <v>6840266850</v>
      </c>
      <c r="CU116" s="253">
        <v>5.5404276000000002E-2</v>
      </c>
      <c r="CV116" s="253">
        <v>4</v>
      </c>
      <c r="CW116" s="253">
        <v>0.73540746749999997</v>
      </c>
      <c r="CX116" s="253">
        <v>0.98420326499999999</v>
      </c>
      <c r="CY116" s="253">
        <v>93</v>
      </c>
      <c r="CZ116" s="252"/>
      <c r="DA116" s="252"/>
      <c r="DB116" s="252"/>
      <c r="DC116" s="253">
        <v>0</v>
      </c>
      <c r="DD116" s="253"/>
      <c r="DE116" s="253"/>
      <c r="DF116" s="171" t="s">
        <v>216</v>
      </c>
      <c r="DG116" s="252" t="s">
        <v>395</v>
      </c>
    </row>
    <row r="117" spans="2:115" x14ac:dyDescent="0.35">
      <c r="B117" s="252" t="str">
        <f t="shared" si="2"/>
        <v>iBoxx MSCI ESG EUR Corporates Green Bond Select45596</v>
      </c>
      <c r="C117" s="253">
        <v>12928</v>
      </c>
      <c r="D117" s="253" t="s">
        <v>515</v>
      </c>
      <c r="E117" s="253" t="s">
        <v>212</v>
      </c>
      <c r="F117" s="254">
        <v>45596</v>
      </c>
      <c r="G117" s="253">
        <v>90</v>
      </c>
      <c r="H117" s="253">
        <v>0</v>
      </c>
      <c r="I117" s="253">
        <v>90</v>
      </c>
      <c r="J117" s="255">
        <v>0</v>
      </c>
      <c r="K117" s="255">
        <v>1</v>
      </c>
      <c r="L117" s="253" t="s">
        <v>444</v>
      </c>
      <c r="M117" s="253">
        <v>7.5745256430000003</v>
      </c>
      <c r="N117" s="253">
        <v>1</v>
      </c>
      <c r="O117" s="253">
        <v>90</v>
      </c>
      <c r="P117" s="253">
        <v>7.7460631619999996</v>
      </c>
      <c r="Q117" s="253">
        <v>1</v>
      </c>
      <c r="R117" s="253">
        <v>90</v>
      </c>
      <c r="S117" s="253">
        <v>5.0408574460000004</v>
      </c>
      <c r="T117" s="253">
        <v>1</v>
      </c>
      <c r="U117" s="253">
        <v>90</v>
      </c>
      <c r="V117" s="253">
        <v>6.3179820859999998</v>
      </c>
      <c r="W117" s="253">
        <v>1</v>
      </c>
      <c r="X117" s="253">
        <v>90</v>
      </c>
      <c r="Y117" s="253">
        <v>0</v>
      </c>
      <c r="Z117" s="253"/>
      <c r="AA117" s="253"/>
      <c r="AB117" s="253">
        <v>0</v>
      </c>
      <c r="AC117" s="253"/>
      <c r="AD117" s="253"/>
      <c r="AE117" s="253">
        <v>0.13882778370000001</v>
      </c>
      <c r="AF117" s="253">
        <v>0.75819387199999999</v>
      </c>
      <c r="AG117" s="253">
        <v>69</v>
      </c>
      <c r="AH117" s="253">
        <v>3.5456735319999999</v>
      </c>
      <c r="AI117" s="253">
        <v>0.41808392100000003</v>
      </c>
      <c r="AJ117" s="253">
        <v>38</v>
      </c>
      <c r="AK117" s="253">
        <v>0</v>
      </c>
      <c r="AL117" s="253"/>
      <c r="AM117" s="253"/>
      <c r="AN117" s="253">
        <v>0</v>
      </c>
      <c r="AO117" s="253"/>
      <c r="AP117" s="253"/>
      <c r="AQ117" s="253">
        <v>0</v>
      </c>
      <c r="AR117" s="253"/>
      <c r="AS117" s="253"/>
      <c r="AT117" s="252"/>
      <c r="AU117" s="252"/>
      <c r="AV117" s="252"/>
      <c r="AW117" s="252"/>
      <c r="AX117" s="252"/>
      <c r="AY117" s="252"/>
      <c r="AZ117" s="252"/>
      <c r="BA117" s="252"/>
      <c r="BB117" s="252"/>
      <c r="BC117" s="252"/>
      <c r="BD117" s="252"/>
      <c r="BE117" s="252"/>
      <c r="BF117" s="252"/>
      <c r="BG117" s="252"/>
      <c r="BH117" s="252"/>
      <c r="BI117" s="252"/>
      <c r="BJ117" s="252"/>
      <c r="BK117" s="252"/>
      <c r="BL117" s="253">
        <v>0.29699390599999997</v>
      </c>
      <c r="BM117" s="253">
        <v>1</v>
      </c>
      <c r="BN117" s="253">
        <v>90</v>
      </c>
      <c r="BO117" s="253">
        <v>30.038794599999999</v>
      </c>
      <c r="BP117" s="253">
        <v>1</v>
      </c>
      <c r="BQ117" s="253">
        <v>90</v>
      </c>
      <c r="BR117" s="253">
        <v>0.866432706</v>
      </c>
      <c r="BS117" s="253">
        <v>6.9877819999999997E-3</v>
      </c>
      <c r="BT117" s="253">
        <v>1</v>
      </c>
      <c r="BU117" s="253">
        <v>90</v>
      </c>
      <c r="BV117" s="253">
        <v>1</v>
      </c>
      <c r="BW117" s="253">
        <v>1</v>
      </c>
      <c r="BX117" s="253">
        <v>90</v>
      </c>
      <c r="BY117" s="253">
        <v>0</v>
      </c>
      <c r="BZ117" s="253">
        <v>1</v>
      </c>
      <c r="CA117" s="253">
        <v>90</v>
      </c>
      <c r="CB117" s="253">
        <v>0</v>
      </c>
      <c r="CC117" s="253">
        <v>1</v>
      </c>
      <c r="CD117" s="253">
        <v>90</v>
      </c>
      <c r="CE117" s="253">
        <v>0</v>
      </c>
      <c r="CF117" s="253">
        <v>1</v>
      </c>
      <c r="CG117" s="253">
        <v>90</v>
      </c>
      <c r="CH117" s="253"/>
      <c r="CI117" s="253"/>
      <c r="CJ117" s="253"/>
      <c r="CK117" s="253">
        <v>0</v>
      </c>
      <c r="CL117" s="253"/>
      <c r="CM117" s="253"/>
      <c r="CN117" s="253">
        <v>0.14870187900000001</v>
      </c>
      <c r="CO117" s="253">
        <v>1</v>
      </c>
      <c r="CP117" s="253">
        <v>90</v>
      </c>
      <c r="CQ117" s="253">
        <v>1</v>
      </c>
      <c r="CR117" s="253">
        <v>1.4840058999999999E-2</v>
      </c>
      <c r="CS117" s="253">
        <v>1</v>
      </c>
      <c r="CT117" s="253">
        <v>16178850</v>
      </c>
      <c r="CU117" s="253">
        <v>1.4840058999999999E-2</v>
      </c>
      <c r="CV117" s="253">
        <v>1</v>
      </c>
      <c r="CW117" s="253">
        <v>0.81416236639999995</v>
      </c>
      <c r="CX117" s="253">
        <v>0.98952863499999999</v>
      </c>
      <c r="CY117" s="253">
        <v>89</v>
      </c>
      <c r="CZ117" s="252"/>
      <c r="DA117" s="252"/>
      <c r="DB117" s="252"/>
      <c r="DC117" s="253">
        <v>0</v>
      </c>
      <c r="DD117" s="253"/>
      <c r="DE117" s="253"/>
      <c r="DF117" s="171" t="s">
        <v>212</v>
      </c>
      <c r="DG117" s="252" t="s">
        <v>395</v>
      </c>
    </row>
    <row r="118" spans="2:115" x14ac:dyDescent="0.35">
      <c r="B118" s="252" t="str">
        <f t="shared" si="2"/>
        <v>iBoxx MSCI ESG USD Asia ex-Japan High Yield Capped TCA45596</v>
      </c>
      <c r="C118" s="253">
        <v>22985</v>
      </c>
      <c r="D118" s="253" t="s">
        <v>516</v>
      </c>
      <c r="E118" s="253" t="s">
        <v>227</v>
      </c>
      <c r="F118" s="254">
        <v>45596</v>
      </c>
      <c r="G118" s="253">
        <v>93</v>
      </c>
      <c r="H118" s="253">
        <v>0</v>
      </c>
      <c r="I118" s="253">
        <v>93</v>
      </c>
      <c r="J118" s="255">
        <v>0</v>
      </c>
      <c r="K118" s="255">
        <v>1</v>
      </c>
      <c r="L118" s="253" t="s">
        <v>444</v>
      </c>
      <c r="M118" s="253">
        <v>4.7689577840000004</v>
      </c>
      <c r="N118" s="253">
        <v>1</v>
      </c>
      <c r="O118" s="253">
        <v>93</v>
      </c>
      <c r="P118" s="253">
        <v>5.6379895160000002</v>
      </c>
      <c r="Q118" s="253">
        <v>1</v>
      </c>
      <c r="R118" s="253">
        <v>93</v>
      </c>
      <c r="S118" s="253">
        <v>5.1133270690000003</v>
      </c>
      <c r="T118" s="253">
        <v>1</v>
      </c>
      <c r="U118" s="253">
        <v>93</v>
      </c>
      <c r="V118" s="253">
        <v>4.2820328249999999</v>
      </c>
      <c r="W118" s="253">
        <v>1</v>
      </c>
      <c r="X118" s="253">
        <v>93</v>
      </c>
      <c r="Y118" s="253">
        <v>0</v>
      </c>
      <c r="Z118" s="253"/>
      <c r="AA118" s="253"/>
      <c r="AB118" s="253">
        <v>0</v>
      </c>
      <c r="AC118" s="253"/>
      <c r="AD118" s="253"/>
      <c r="AE118" s="253">
        <v>0.16313394989999999</v>
      </c>
      <c r="AF118" s="253">
        <v>0.53133713100000002</v>
      </c>
      <c r="AG118" s="253">
        <v>48</v>
      </c>
      <c r="AH118" s="253">
        <v>1.63985866</v>
      </c>
      <c r="AI118" s="253">
        <v>0.31079137400000001</v>
      </c>
      <c r="AJ118" s="253">
        <v>30</v>
      </c>
      <c r="AK118" s="253">
        <v>0</v>
      </c>
      <c r="AL118" s="253"/>
      <c r="AM118" s="253"/>
      <c r="AN118" s="253">
        <v>0</v>
      </c>
      <c r="AO118" s="253"/>
      <c r="AP118" s="253"/>
      <c r="AQ118" s="253">
        <v>0</v>
      </c>
      <c r="AR118" s="253"/>
      <c r="AS118" s="253"/>
      <c r="AT118" s="252"/>
      <c r="AU118" s="252"/>
      <c r="AV118" s="252"/>
      <c r="AW118" s="252"/>
      <c r="AX118" s="252"/>
      <c r="AY118" s="252"/>
      <c r="AZ118" s="252"/>
      <c r="BA118" s="252"/>
      <c r="BB118" s="252"/>
      <c r="BC118" s="252"/>
      <c r="BD118" s="252"/>
      <c r="BE118" s="252"/>
      <c r="BF118" s="252"/>
      <c r="BG118" s="252"/>
      <c r="BH118" s="252"/>
      <c r="BI118" s="252"/>
      <c r="BJ118" s="252"/>
      <c r="BK118" s="252"/>
      <c r="BL118" s="253">
        <v>0.56137863700000001</v>
      </c>
      <c r="BM118" s="253">
        <v>1</v>
      </c>
      <c r="BN118" s="253">
        <v>93</v>
      </c>
      <c r="BO118" s="253">
        <v>355.2664355</v>
      </c>
      <c r="BP118" s="253">
        <v>1</v>
      </c>
      <c r="BQ118" s="253">
        <v>93</v>
      </c>
      <c r="BR118" s="253">
        <v>0.93771748600000004</v>
      </c>
      <c r="BS118" s="253">
        <v>9.2220358000000002E-2</v>
      </c>
      <c r="BT118" s="253">
        <v>1</v>
      </c>
      <c r="BU118" s="253">
        <v>93</v>
      </c>
      <c r="BV118" s="253">
        <v>8.4289716000000001E-2</v>
      </c>
      <c r="BW118" s="253">
        <v>8.4289716000000001E-2</v>
      </c>
      <c r="BX118" s="253">
        <v>9</v>
      </c>
      <c r="BY118" s="253">
        <v>0</v>
      </c>
      <c r="BZ118" s="253">
        <v>1</v>
      </c>
      <c r="CA118" s="253">
        <v>93</v>
      </c>
      <c r="CB118" s="253">
        <v>0</v>
      </c>
      <c r="CC118" s="253">
        <v>1</v>
      </c>
      <c r="CD118" s="253">
        <v>93</v>
      </c>
      <c r="CE118" s="253">
        <v>0</v>
      </c>
      <c r="CF118" s="253">
        <v>1</v>
      </c>
      <c r="CG118" s="253">
        <v>93</v>
      </c>
      <c r="CH118" s="253"/>
      <c r="CI118" s="253"/>
      <c r="CJ118" s="253"/>
      <c r="CK118" s="253">
        <v>0</v>
      </c>
      <c r="CL118" s="253"/>
      <c r="CM118" s="253"/>
      <c r="CN118" s="253">
        <v>0.55650358799999999</v>
      </c>
      <c r="CO118" s="253">
        <v>1</v>
      </c>
      <c r="CP118" s="253">
        <v>93</v>
      </c>
      <c r="CQ118" s="253">
        <v>4</v>
      </c>
      <c r="CR118" s="253">
        <v>0.09</v>
      </c>
      <c r="CS118" s="253">
        <v>7</v>
      </c>
      <c r="CT118" s="253">
        <v>7197.14</v>
      </c>
      <c r="CU118" s="253">
        <v>0.03</v>
      </c>
      <c r="CV118" s="253">
        <v>1</v>
      </c>
      <c r="CW118" s="253">
        <v>0.28643599419999999</v>
      </c>
      <c r="CX118" s="253">
        <v>1</v>
      </c>
      <c r="CY118" s="253">
        <v>93</v>
      </c>
      <c r="CZ118" s="252"/>
      <c r="DA118" s="252"/>
      <c r="DB118" s="252"/>
      <c r="DC118" s="253">
        <v>0</v>
      </c>
      <c r="DD118" s="253"/>
      <c r="DE118" s="253"/>
      <c r="DF118" s="171" t="s">
        <v>228</v>
      </c>
      <c r="DG118" s="252" t="s">
        <v>395</v>
      </c>
    </row>
    <row r="119" spans="2:115" x14ac:dyDescent="0.35">
      <c r="B119" s="252" t="str">
        <f t="shared" si="2"/>
        <v>iBoxx MSCI ESG USD FRN Investment Grade Corporates TCA45596</v>
      </c>
      <c r="C119" s="253">
        <v>25275</v>
      </c>
      <c r="D119" s="253" t="s">
        <v>517</v>
      </c>
      <c r="E119" s="253" t="s">
        <v>231</v>
      </c>
      <c r="F119" s="254">
        <v>45596</v>
      </c>
      <c r="G119" s="253">
        <v>293</v>
      </c>
      <c r="H119" s="253">
        <v>0</v>
      </c>
      <c r="I119" s="253">
        <v>293</v>
      </c>
      <c r="J119" s="255">
        <v>0</v>
      </c>
      <c r="K119" s="255">
        <v>1</v>
      </c>
      <c r="L119" s="253" t="s">
        <v>444</v>
      </c>
      <c r="M119" s="253">
        <v>7.3201940299999997</v>
      </c>
      <c r="N119" s="253">
        <v>1</v>
      </c>
      <c r="O119" s="253">
        <v>293</v>
      </c>
      <c r="P119" s="253">
        <v>7.6720722270000001</v>
      </c>
      <c r="Q119" s="253">
        <v>1</v>
      </c>
      <c r="R119" s="253">
        <v>293</v>
      </c>
      <c r="S119" s="253">
        <v>4.4950930769999999</v>
      </c>
      <c r="T119" s="253">
        <v>1</v>
      </c>
      <c r="U119" s="253">
        <v>293</v>
      </c>
      <c r="V119" s="253">
        <v>5.9482648119999997</v>
      </c>
      <c r="W119" s="253">
        <v>1</v>
      </c>
      <c r="X119" s="253">
        <v>293</v>
      </c>
      <c r="Y119" s="253">
        <v>0</v>
      </c>
      <c r="Z119" s="253"/>
      <c r="AA119" s="253"/>
      <c r="AB119" s="253">
        <v>0</v>
      </c>
      <c r="AC119" s="253"/>
      <c r="AD119" s="253"/>
      <c r="AE119" s="253">
        <v>0.16820957</v>
      </c>
      <c r="AF119" s="253">
        <v>0.73532167000000004</v>
      </c>
      <c r="AG119" s="253">
        <v>215</v>
      </c>
      <c r="AH119" s="253">
        <v>7.0885597029999996</v>
      </c>
      <c r="AI119" s="253">
        <v>0.11214568</v>
      </c>
      <c r="AJ119" s="253">
        <v>30</v>
      </c>
      <c r="AK119" s="253">
        <v>0</v>
      </c>
      <c r="AL119" s="253"/>
      <c r="AM119" s="253"/>
      <c r="AN119" s="253">
        <v>0</v>
      </c>
      <c r="AO119" s="253"/>
      <c r="AP119" s="253"/>
      <c r="AQ119" s="253">
        <v>0</v>
      </c>
      <c r="AR119" s="253"/>
      <c r="AS119" s="253"/>
      <c r="AT119" s="252"/>
      <c r="AU119" s="252"/>
      <c r="AV119" s="252"/>
      <c r="AW119" s="252"/>
      <c r="AX119" s="252"/>
      <c r="AY119" s="252"/>
      <c r="AZ119" s="252"/>
      <c r="BA119" s="252"/>
      <c r="BB119" s="252"/>
      <c r="BC119" s="252"/>
      <c r="BD119" s="252"/>
      <c r="BE119" s="252"/>
      <c r="BF119" s="252"/>
      <c r="BG119" s="252"/>
      <c r="BH119" s="252"/>
      <c r="BI119" s="252"/>
      <c r="BJ119" s="252"/>
      <c r="BK119" s="252"/>
      <c r="BL119" s="253">
        <v>8.1550045000000002E-2</v>
      </c>
      <c r="BM119" s="253">
        <v>1</v>
      </c>
      <c r="BN119" s="253">
        <v>293</v>
      </c>
      <c r="BO119" s="253">
        <v>2.7039109460000001</v>
      </c>
      <c r="BP119" s="253">
        <v>1</v>
      </c>
      <c r="BQ119" s="253">
        <v>293</v>
      </c>
      <c r="BR119" s="253">
        <v>0.89954551299999996</v>
      </c>
      <c r="BS119" s="253">
        <v>3.4027599999999999E-3</v>
      </c>
      <c r="BT119" s="253">
        <v>1</v>
      </c>
      <c r="BU119" s="253">
        <v>293</v>
      </c>
      <c r="BV119">
        <v>0</v>
      </c>
      <c r="BW119" s="234" t="s">
        <v>460</v>
      </c>
      <c r="BX119" s="234" t="s">
        <v>460</v>
      </c>
      <c r="BY119" s="253">
        <v>0</v>
      </c>
      <c r="BZ119" s="253">
        <v>1</v>
      </c>
      <c r="CA119" s="253">
        <v>293</v>
      </c>
      <c r="CB119" s="253">
        <v>0</v>
      </c>
      <c r="CC119" s="253">
        <v>1</v>
      </c>
      <c r="CD119" s="253">
        <v>293</v>
      </c>
      <c r="CE119" s="253">
        <v>0</v>
      </c>
      <c r="CF119" s="253">
        <v>1</v>
      </c>
      <c r="CG119" s="253">
        <v>293</v>
      </c>
      <c r="CH119" s="253"/>
      <c r="CI119" s="253"/>
      <c r="CJ119" s="253"/>
      <c r="CK119" s="253">
        <v>0</v>
      </c>
      <c r="CL119" s="253"/>
      <c r="CM119" s="253"/>
      <c r="CN119" s="253">
        <v>0.33284461199999998</v>
      </c>
      <c r="CO119" s="253">
        <v>1</v>
      </c>
      <c r="CP119" s="253">
        <v>293</v>
      </c>
      <c r="CQ119" s="253">
        <v>21</v>
      </c>
      <c r="CR119" s="253">
        <v>6.5763633000000002E-2</v>
      </c>
      <c r="CS119" s="253">
        <v>20</v>
      </c>
      <c r="CT119" s="253">
        <v>13685626350</v>
      </c>
      <c r="CU119" s="253">
        <v>6.5763633000000002E-2</v>
      </c>
      <c r="CV119" s="253">
        <v>20</v>
      </c>
      <c r="CW119" s="253">
        <v>0.69886767109999992</v>
      </c>
      <c r="CX119" s="253">
        <v>0.98464413500000003</v>
      </c>
      <c r="CY119" s="253">
        <v>289</v>
      </c>
      <c r="CZ119" s="252"/>
      <c r="DA119" s="252"/>
      <c r="DB119" s="252"/>
      <c r="DC119" s="253">
        <v>0</v>
      </c>
      <c r="DD119" s="253"/>
      <c r="DE119" s="253"/>
      <c r="DF119" s="171" t="s">
        <v>232</v>
      </c>
      <c r="DG119" s="252" t="s">
        <v>395</v>
      </c>
    </row>
    <row r="120" spans="2:115" x14ac:dyDescent="0.35">
      <c r="B120" s="252" t="str">
        <f t="shared" si="2"/>
        <v>iBoxx MSCI USD Senior Corporates Investment Grade ESG Factor Weighted45626</v>
      </c>
      <c r="C120" s="253">
        <v>0</v>
      </c>
      <c r="D120" s="253" t="s">
        <v>494</v>
      </c>
      <c r="E120" s="253" t="s">
        <v>247</v>
      </c>
      <c r="F120" s="254">
        <v>45626</v>
      </c>
      <c r="G120" s="253">
        <v>2977</v>
      </c>
      <c r="H120" s="253">
        <v>0</v>
      </c>
      <c r="I120" s="253">
        <v>2977</v>
      </c>
      <c r="J120" s="255">
        <v>0</v>
      </c>
      <c r="K120" s="255">
        <v>1</v>
      </c>
      <c r="L120" s="253" t="s">
        <v>444</v>
      </c>
      <c r="M120" s="253">
        <v>7.1617721479999998</v>
      </c>
      <c r="N120" s="253">
        <v>1</v>
      </c>
      <c r="O120" s="253">
        <v>2977</v>
      </c>
      <c r="P120" s="253">
        <v>6.6075512009999997</v>
      </c>
      <c r="Q120" s="253">
        <v>1</v>
      </c>
      <c r="R120" s="253">
        <v>2977</v>
      </c>
      <c r="S120" s="253">
        <v>5.1829523890000004</v>
      </c>
      <c r="T120" s="253">
        <v>1</v>
      </c>
      <c r="U120" s="253">
        <v>2977</v>
      </c>
      <c r="V120" s="253">
        <v>6.2933447759999996</v>
      </c>
      <c r="W120" s="253">
        <v>1</v>
      </c>
      <c r="X120" s="253">
        <v>2977</v>
      </c>
      <c r="Y120" s="253">
        <v>0</v>
      </c>
      <c r="Z120" s="253"/>
      <c r="AA120" s="253"/>
      <c r="AB120" s="253">
        <v>0</v>
      </c>
      <c r="AC120" s="253"/>
      <c r="AD120" s="253"/>
      <c r="AE120" s="253">
        <v>0.15361250430000001</v>
      </c>
      <c r="AF120" s="253">
        <v>0.80938989299999997</v>
      </c>
      <c r="AG120" s="253">
        <v>2378</v>
      </c>
      <c r="AH120" s="253">
        <v>4.5400537390000002</v>
      </c>
      <c r="AI120" s="253">
        <v>0.47409874499999999</v>
      </c>
      <c r="AJ120" s="253">
        <v>1204</v>
      </c>
      <c r="AK120" s="253">
        <v>0</v>
      </c>
      <c r="AL120" s="253"/>
      <c r="AM120" s="253"/>
      <c r="AN120" s="253">
        <v>0</v>
      </c>
      <c r="AO120" s="253"/>
      <c r="AP120" s="253"/>
      <c r="AQ120" s="253">
        <v>0</v>
      </c>
      <c r="AR120" s="253"/>
      <c r="AS120" s="253"/>
      <c r="AT120" s="252"/>
      <c r="AU120" s="252"/>
      <c r="AV120" s="252"/>
      <c r="AW120" s="252"/>
      <c r="AX120" s="252"/>
      <c r="AY120" s="252"/>
      <c r="AZ120" s="252"/>
      <c r="BA120" s="252"/>
      <c r="BB120" s="252"/>
      <c r="BC120" s="252"/>
      <c r="BD120" s="252"/>
      <c r="BE120" s="252"/>
      <c r="BF120" s="252"/>
      <c r="BG120" s="252"/>
      <c r="BH120" s="252"/>
      <c r="BI120" s="252"/>
      <c r="BJ120" s="252"/>
      <c r="BK120" s="252"/>
      <c r="BL120" s="253">
        <v>0.59894863700000001</v>
      </c>
      <c r="BM120" s="253">
        <v>1</v>
      </c>
      <c r="BN120" s="253">
        <v>2977</v>
      </c>
      <c r="BO120" s="253">
        <v>54.334788779999997</v>
      </c>
      <c r="BP120" s="253">
        <v>1</v>
      </c>
      <c r="BQ120" s="253">
        <v>2977</v>
      </c>
      <c r="BR120" s="253">
        <v>0.81765865400000004</v>
      </c>
      <c r="BS120" s="253">
        <v>6.1861711E-2</v>
      </c>
      <c r="BT120" s="253">
        <v>1</v>
      </c>
      <c r="BU120" s="253">
        <v>2977</v>
      </c>
      <c r="BV120" s="253">
        <v>2.1694214E-2</v>
      </c>
      <c r="BW120" s="253">
        <v>2.1694214E-2</v>
      </c>
      <c r="BX120" s="253">
        <v>78</v>
      </c>
      <c r="BY120" s="253">
        <v>0</v>
      </c>
      <c r="BZ120" s="253">
        <v>1</v>
      </c>
      <c r="CA120" s="253">
        <v>2977</v>
      </c>
      <c r="CB120" s="253">
        <v>6.0882360000000003E-3</v>
      </c>
      <c r="CC120" s="253">
        <v>1</v>
      </c>
      <c r="CD120" s="253">
        <v>2977</v>
      </c>
      <c r="CE120" s="253">
        <v>0</v>
      </c>
      <c r="CF120" s="253">
        <v>1</v>
      </c>
      <c r="CG120" s="253">
        <v>2977</v>
      </c>
      <c r="CH120" s="253"/>
      <c r="CI120" s="253"/>
      <c r="CJ120" s="253"/>
      <c r="CK120" s="253">
        <v>0</v>
      </c>
      <c r="CL120" s="253"/>
      <c r="CM120" s="253"/>
      <c r="CN120" s="253">
        <v>0.39639053400000002</v>
      </c>
      <c r="CO120" s="253">
        <v>1</v>
      </c>
      <c r="CP120" s="253">
        <v>2977</v>
      </c>
      <c r="CQ120" s="253">
        <v>32</v>
      </c>
      <c r="CR120" s="253">
        <v>3.0275297999999999E-2</v>
      </c>
      <c r="CS120" s="253">
        <v>84</v>
      </c>
      <c r="CT120" s="253">
        <v>15695949209</v>
      </c>
      <c r="CU120" s="253">
        <v>3.0275297999999999E-2</v>
      </c>
      <c r="CV120" s="253">
        <v>84</v>
      </c>
      <c r="CW120" s="253">
        <v>0.6029287995</v>
      </c>
      <c r="CX120" s="253">
        <v>1</v>
      </c>
      <c r="CY120" s="253">
        <v>2977</v>
      </c>
      <c r="CZ120" s="252"/>
      <c r="DA120" s="252"/>
      <c r="DB120" s="252"/>
      <c r="DC120" s="253">
        <v>0</v>
      </c>
      <c r="DD120" s="253"/>
      <c r="DE120" s="253"/>
      <c r="DF120" s="171" t="s">
        <v>248</v>
      </c>
      <c r="DG120" s="252" t="s">
        <v>395</v>
      </c>
    </row>
    <row r="121" spans="2:115" x14ac:dyDescent="0.35">
      <c r="B121" s="252" t="str">
        <f t="shared" si="2"/>
        <v>iBoxx MSCI ESG Advanced USD Liquid Investment Grade45626</v>
      </c>
      <c r="C121" s="253">
        <v>1</v>
      </c>
      <c r="D121" s="253" t="s">
        <v>495</v>
      </c>
      <c r="E121" s="253" t="s">
        <v>204</v>
      </c>
      <c r="F121" s="254">
        <v>45626</v>
      </c>
      <c r="G121" s="253">
        <v>1819</v>
      </c>
      <c r="H121" s="253">
        <v>0</v>
      </c>
      <c r="I121" s="253">
        <v>1819</v>
      </c>
      <c r="J121" s="255">
        <v>0</v>
      </c>
      <c r="K121" s="255">
        <v>1</v>
      </c>
      <c r="L121" s="253" t="s">
        <v>444</v>
      </c>
      <c r="M121" s="253">
        <v>6.9300104410000003</v>
      </c>
      <c r="N121" s="253">
        <v>1</v>
      </c>
      <c r="O121" s="253">
        <v>1819</v>
      </c>
      <c r="P121" s="253">
        <v>7.6689275879999999</v>
      </c>
      <c r="Q121" s="253">
        <v>1</v>
      </c>
      <c r="R121" s="253">
        <v>1819</v>
      </c>
      <c r="S121" s="253">
        <v>4.9825687089999997</v>
      </c>
      <c r="T121" s="253">
        <v>1</v>
      </c>
      <c r="U121" s="253">
        <v>1819</v>
      </c>
      <c r="V121" s="253">
        <v>5.711280532</v>
      </c>
      <c r="W121" s="253">
        <v>1</v>
      </c>
      <c r="X121" s="253">
        <v>1819</v>
      </c>
      <c r="Y121" s="253">
        <v>0</v>
      </c>
      <c r="Z121" s="253"/>
      <c r="AA121" s="253"/>
      <c r="AB121" s="253">
        <v>0</v>
      </c>
      <c r="AC121" s="253"/>
      <c r="AD121" s="253"/>
      <c r="AE121" s="253">
        <v>0.1745227764</v>
      </c>
      <c r="AF121" s="253">
        <v>0.83204076900000001</v>
      </c>
      <c r="AG121" s="253">
        <v>1522</v>
      </c>
      <c r="AH121" s="253">
        <v>4.461828948</v>
      </c>
      <c r="AI121" s="253">
        <v>0.37068982700000003</v>
      </c>
      <c r="AJ121" s="253">
        <v>684</v>
      </c>
      <c r="AK121" s="253">
        <v>0</v>
      </c>
      <c r="AL121" s="253"/>
      <c r="AM121" s="253"/>
      <c r="AN121" s="253">
        <v>0</v>
      </c>
      <c r="AO121" s="253"/>
      <c r="AP121" s="253"/>
      <c r="AQ121" s="253">
        <v>0</v>
      </c>
      <c r="AR121" s="253"/>
      <c r="AS121" s="253"/>
      <c r="AT121" s="252"/>
      <c r="AU121" s="252"/>
      <c r="AV121" s="252"/>
      <c r="AW121" s="252"/>
      <c r="AX121" s="252"/>
      <c r="AY121" s="252"/>
      <c r="AZ121" s="252"/>
      <c r="BA121" s="252"/>
      <c r="BB121" s="252"/>
      <c r="BC121" s="252"/>
      <c r="BD121" s="252"/>
      <c r="BE121" s="252"/>
      <c r="BF121" s="252"/>
      <c r="BG121" s="252"/>
      <c r="BH121" s="252"/>
      <c r="BI121" s="252"/>
      <c r="BJ121" s="252"/>
      <c r="BK121" s="252"/>
      <c r="BL121" s="253">
        <v>0.31094645199999998</v>
      </c>
      <c r="BM121" s="253">
        <v>1</v>
      </c>
      <c r="BN121" s="253">
        <v>1819</v>
      </c>
      <c r="BO121" s="253">
        <v>10.10889287</v>
      </c>
      <c r="BP121" s="253">
        <v>1</v>
      </c>
      <c r="BQ121" s="253">
        <v>1819</v>
      </c>
      <c r="BR121" s="253">
        <v>0.89132558100000003</v>
      </c>
      <c r="BS121" s="253">
        <v>9.5455750000000006E-3</v>
      </c>
      <c r="BT121" s="253">
        <v>1</v>
      </c>
      <c r="BU121" s="253">
        <v>1819</v>
      </c>
      <c r="BV121" s="253">
        <v>1.0846346999999999E-2</v>
      </c>
      <c r="BW121" s="253">
        <v>1.0846346999999999E-2</v>
      </c>
      <c r="BX121" s="253">
        <v>29</v>
      </c>
      <c r="BY121" s="253">
        <v>0</v>
      </c>
      <c r="BZ121" s="253">
        <v>1</v>
      </c>
      <c r="CA121" s="253">
        <v>1819</v>
      </c>
      <c r="CB121" s="253">
        <v>0</v>
      </c>
      <c r="CC121" s="253">
        <v>1</v>
      </c>
      <c r="CD121" s="253">
        <v>1819</v>
      </c>
      <c r="CE121" s="253">
        <v>0</v>
      </c>
      <c r="CF121" s="253">
        <v>1</v>
      </c>
      <c r="CG121" s="253">
        <v>1819</v>
      </c>
      <c r="CH121" s="253"/>
      <c r="CI121" s="253"/>
      <c r="CJ121" s="253"/>
      <c r="CK121" s="253">
        <v>0</v>
      </c>
      <c r="CL121" s="253"/>
      <c r="CM121" s="253"/>
      <c r="CN121" s="253">
        <v>0.47125851200000002</v>
      </c>
      <c r="CO121" s="253">
        <v>1</v>
      </c>
      <c r="CP121" s="253">
        <v>1819</v>
      </c>
      <c r="CQ121" s="253">
        <v>31</v>
      </c>
      <c r="CR121" s="253">
        <v>5.2199837999999998E-2</v>
      </c>
      <c r="CS121" s="253">
        <v>69</v>
      </c>
      <c r="CT121" s="253">
        <v>15597078059</v>
      </c>
      <c r="CU121" s="253">
        <v>5.2199837999999998E-2</v>
      </c>
      <c r="CV121" s="253">
        <v>69</v>
      </c>
      <c r="CW121" s="253">
        <v>0.61188328419999993</v>
      </c>
      <c r="CX121" s="253">
        <v>1</v>
      </c>
      <c r="CY121" s="253">
        <v>1819</v>
      </c>
      <c r="CZ121" s="252"/>
      <c r="DA121" s="252"/>
      <c r="DB121" s="252"/>
      <c r="DC121" s="253">
        <v>0</v>
      </c>
      <c r="DD121" s="253"/>
      <c r="DE121" s="253"/>
      <c r="DF121" s="171" t="s">
        <v>205</v>
      </c>
      <c r="DG121" s="252" t="s">
        <v>395</v>
      </c>
    </row>
    <row r="122" spans="2:115" x14ac:dyDescent="0.35">
      <c r="B122" s="252" t="str">
        <f t="shared" si="2"/>
        <v>iBoxx MSCI ESG USD Liquid Investment Grade Ultrashort45626</v>
      </c>
      <c r="C122" s="253">
        <v>2</v>
      </c>
      <c r="D122" s="253" t="s">
        <v>496</v>
      </c>
      <c r="E122" s="253" t="s">
        <v>233</v>
      </c>
      <c r="F122" s="254">
        <v>45626</v>
      </c>
      <c r="G122" s="253">
        <v>633</v>
      </c>
      <c r="H122" s="253">
        <v>0</v>
      </c>
      <c r="I122" s="253">
        <v>633</v>
      </c>
      <c r="J122" s="255">
        <v>0</v>
      </c>
      <c r="K122" s="255">
        <v>1</v>
      </c>
      <c r="L122" s="253" t="s">
        <v>444</v>
      </c>
      <c r="M122" s="253">
        <v>7.2126672149999997</v>
      </c>
      <c r="N122" s="253">
        <v>1</v>
      </c>
      <c r="O122" s="253">
        <v>633</v>
      </c>
      <c r="P122" s="253">
        <v>7.2487254940000003</v>
      </c>
      <c r="Q122" s="253">
        <v>1</v>
      </c>
      <c r="R122" s="253">
        <v>633</v>
      </c>
      <c r="S122" s="253">
        <v>4.7931118169999998</v>
      </c>
      <c r="T122" s="253">
        <v>1</v>
      </c>
      <c r="U122" s="253">
        <v>633</v>
      </c>
      <c r="V122" s="253">
        <v>5.9121237689999999</v>
      </c>
      <c r="W122" s="253">
        <v>1</v>
      </c>
      <c r="X122" s="253">
        <v>633</v>
      </c>
      <c r="Y122" s="253">
        <v>0</v>
      </c>
      <c r="Z122" s="253"/>
      <c r="AA122" s="253"/>
      <c r="AB122" s="253">
        <v>0</v>
      </c>
      <c r="AC122" s="253"/>
      <c r="AD122" s="253"/>
      <c r="AE122" s="253">
        <v>0.162260828</v>
      </c>
      <c r="AF122" s="253">
        <v>0.82836374899999998</v>
      </c>
      <c r="AG122" s="253">
        <v>524</v>
      </c>
      <c r="AH122" s="253">
        <v>4.3429717879999998</v>
      </c>
      <c r="AI122" s="253">
        <v>0.26545604299999997</v>
      </c>
      <c r="AJ122" s="253">
        <v>180</v>
      </c>
      <c r="AK122" s="253">
        <v>0</v>
      </c>
      <c r="AL122" s="253"/>
      <c r="AM122" s="253"/>
      <c r="AN122" s="253">
        <v>0</v>
      </c>
      <c r="AO122" s="253"/>
      <c r="AP122" s="253"/>
      <c r="AQ122" s="253">
        <v>0</v>
      </c>
      <c r="AR122" s="253"/>
      <c r="AS122" s="253"/>
      <c r="AT122" s="252"/>
      <c r="AU122" s="252"/>
      <c r="AV122" s="252"/>
      <c r="AW122" s="252"/>
      <c r="AX122" s="252"/>
      <c r="AY122" s="252"/>
      <c r="AZ122" s="252"/>
      <c r="BA122" s="252"/>
      <c r="BB122" s="252"/>
      <c r="BC122" s="252"/>
      <c r="BD122" s="252"/>
      <c r="BE122" s="252"/>
      <c r="BF122" s="252"/>
      <c r="BG122" s="252"/>
      <c r="BH122" s="252"/>
      <c r="BI122" s="252"/>
      <c r="BJ122" s="252"/>
      <c r="BK122" s="252"/>
      <c r="BL122" s="253">
        <v>0.27622453400000002</v>
      </c>
      <c r="BM122" s="253">
        <v>1</v>
      </c>
      <c r="BN122" s="253">
        <v>633</v>
      </c>
      <c r="BO122" s="253">
        <v>16.80863656</v>
      </c>
      <c r="BP122" s="253">
        <v>1</v>
      </c>
      <c r="BQ122" s="253">
        <v>633</v>
      </c>
      <c r="BR122" s="253">
        <v>0.895504894</v>
      </c>
      <c r="BS122" s="253">
        <v>1.4937545E-2</v>
      </c>
      <c r="BT122" s="253">
        <v>1</v>
      </c>
      <c r="BU122" s="253">
        <v>633</v>
      </c>
      <c r="BV122" s="253">
        <v>1.0191172E-2</v>
      </c>
      <c r="BW122" s="253">
        <v>1.0191172E-2</v>
      </c>
      <c r="BX122" s="253">
        <v>9</v>
      </c>
      <c r="BY122" s="253">
        <v>0</v>
      </c>
      <c r="BZ122" s="253">
        <v>1</v>
      </c>
      <c r="CA122" s="253">
        <v>633</v>
      </c>
      <c r="CB122" s="253">
        <v>0</v>
      </c>
      <c r="CC122" s="253">
        <v>1</v>
      </c>
      <c r="CD122" s="253">
        <v>633</v>
      </c>
      <c r="CE122" s="253">
        <v>0</v>
      </c>
      <c r="CF122" s="253">
        <v>1</v>
      </c>
      <c r="CG122" s="253">
        <v>633</v>
      </c>
      <c r="CH122" s="253"/>
      <c r="CI122" s="253"/>
      <c r="CJ122" s="253"/>
      <c r="CK122" s="253">
        <v>0</v>
      </c>
      <c r="CL122" s="253"/>
      <c r="CM122" s="253"/>
      <c r="CN122" s="253">
        <v>0.38399550700000001</v>
      </c>
      <c r="CO122" s="253">
        <v>1</v>
      </c>
      <c r="CP122" s="253">
        <v>633</v>
      </c>
      <c r="CQ122" s="253">
        <v>34</v>
      </c>
      <c r="CR122" s="253">
        <v>6.1614044999999999E-2</v>
      </c>
      <c r="CS122" s="253">
        <v>31</v>
      </c>
      <c r="CT122" s="253">
        <v>15150318234</v>
      </c>
      <c r="CU122" s="253">
        <v>6.1614044999999999E-2</v>
      </c>
      <c r="CV122" s="253">
        <v>31</v>
      </c>
      <c r="CW122" s="253">
        <v>0.63090682639999995</v>
      </c>
      <c r="CX122" s="253">
        <v>0.99361055099999995</v>
      </c>
      <c r="CY122" s="253">
        <v>628</v>
      </c>
      <c r="CZ122" s="252"/>
      <c r="DA122" s="252"/>
      <c r="DB122" s="252"/>
      <c r="DC122" s="253">
        <v>0</v>
      </c>
      <c r="DD122" s="253"/>
      <c r="DE122" s="253"/>
      <c r="DF122" s="171" t="s">
        <v>234</v>
      </c>
      <c r="DG122" s="252" t="s">
        <v>395</v>
      </c>
    </row>
    <row r="123" spans="2:115" x14ac:dyDescent="0.35">
      <c r="B123" s="252" t="str">
        <f t="shared" si="2"/>
        <v>iBoxx MSCI USD High Yield Paris Aligned Capped TCA45626</v>
      </c>
      <c r="C123" s="253">
        <v>4</v>
      </c>
      <c r="D123" s="253" t="s">
        <v>497</v>
      </c>
      <c r="E123" s="253" t="s">
        <v>246</v>
      </c>
      <c r="F123" s="254">
        <v>45626</v>
      </c>
      <c r="G123" s="253">
        <v>961</v>
      </c>
      <c r="H123" s="253">
        <v>0</v>
      </c>
      <c r="I123" s="253">
        <v>961</v>
      </c>
      <c r="J123" s="255">
        <v>0</v>
      </c>
      <c r="K123" s="255">
        <v>1</v>
      </c>
      <c r="L123" s="253" t="s">
        <v>444</v>
      </c>
      <c r="M123" s="253">
        <v>6.3192398250000004</v>
      </c>
      <c r="N123" s="253">
        <v>0.99966692300000004</v>
      </c>
      <c r="O123" s="253">
        <v>960</v>
      </c>
      <c r="P123" s="253">
        <v>6.2122329140000003</v>
      </c>
      <c r="Q123" s="253">
        <v>0.99966692300000004</v>
      </c>
      <c r="R123" s="253">
        <v>960</v>
      </c>
      <c r="S123" s="253">
        <v>4.9647098439999997</v>
      </c>
      <c r="T123" s="253">
        <v>0.99966692300000004</v>
      </c>
      <c r="U123" s="253">
        <v>960</v>
      </c>
      <c r="V123" s="253">
        <v>5.8413428720000002</v>
      </c>
      <c r="W123" s="253">
        <v>0.99966692300000004</v>
      </c>
      <c r="X123" s="253">
        <v>960</v>
      </c>
      <c r="Y123" s="253">
        <v>0</v>
      </c>
      <c r="Z123" s="253"/>
      <c r="AA123" s="253"/>
      <c r="AB123" s="253">
        <v>0</v>
      </c>
      <c r="AC123" s="253"/>
      <c r="AD123" s="253"/>
      <c r="AE123" s="253">
        <v>0.1531901822</v>
      </c>
      <c r="AF123" s="253">
        <v>0.76959712999999996</v>
      </c>
      <c r="AG123" s="253">
        <v>753</v>
      </c>
      <c r="AH123" s="253">
        <v>7.7242117009999998</v>
      </c>
      <c r="AI123" s="253">
        <v>0.31064434200000002</v>
      </c>
      <c r="AJ123" s="253">
        <v>267</v>
      </c>
      <c r="AK123" s="253">
        <v>0</v>
      </c>
      <c r="AL123" s="253"/>
      <c r="AM123" s="253"/>
      <c r="AN123" s="253">
        <v>0</v>
      </c>
      <c r="AO123" s="253"/>
      <c r="AP123" s="253"/>
      <c r="AQ123" s="253">
        <v>0</v>
      </c>
      <c r="AR123" s="253"/>
      <c r="AS123" s="253"/>
      <c r="AT123" s="252"/>
      <c r="AU123" s="252"/>
      <c r="AV123" s="252"/>
      <c r="AW123" s="252"/>
      <c r="AX123" s="252"/>
      <c r="AY123" s="252"/>
      <c r="AZ123" s="252"/>
      <c r="BA123" s="252"/>
      <c r="BB123" s="252"/>
      <c r="BC123" s="252"/>
      <c r="BD123" s="252"/>
      <c r="BE123" s="252"/>
      <c r="BF123" s="252"/>
      <c r="BG123" s="252"/>
      <c r="BH123" s="252"/>
      <c r="BI123" s="252"/>
      <c r="BJ123" s="252"/>
      <c r="BK123" s="252"/>
      <c r="BL123" s="253">
        <v>0.50710157700000003</v>
      </c>
      <c r="BM123" s="253">
        <v>1</v>
      </c>
      <c r="BN123" s="253">
        <v>961</v>
      </c>
      <c r="BO123" s="253">
        <v>64.913123049999996</v>
      </c>
      <c r="BP123" s="253">
        <v>0.99966692300000004</v>
      </c>
      <c r="BQ123" s="253">
        <v>960</v>
      </c>
      <c r="BR123" s="253">
        <v>0.67975738600000002</v>
      </c>
      <c r="BS123" s="253">
        <v>3.7058260000000003E-2</v>
      </c>
      <c r="BT123" s="253">
        <v>1</v>
      </c>
      <c r="BU123" s="253">
        <v>961</v>
      </c>
      <c r="BV123" s="253">
        <v>1.0576313E-2</v>
      </c>
      <c r="BW123" s="253">
        <v>1.0576313E-2</v>
      </c>
      <c r="BX123" s="253">
        <v>16</v>
      </c>
      <c r="BY123" s="253">
        <v>0</v>
      </c>
      <c r="BZ123" s="253">
        <v>0.99966692300000004</v>
      </c>
      <c r="CA123" s="253">
        <v>960</v>
      </c>
      <c r="CB123" s="253">
        <v>0</v>
      </c>
      <c r="CC123" s="253">
        <v>0.99966692300000004</v>
      </c>
      <c r="CD123" s="253">
        <v>960</v>
      </c>
      <c r="CE123" s="253">
        <v>0</v>
      </c>
      <c r="CF123" s="253">
        <v>0.99966692300000004</v>
      </c>
      <c r="CG123" s="253">
        <v>960</v>
      </c>
      <c r="CH123" s="253"/>
      <c r="CI123" s="253"/>
      <c r="CJ123" s="253"/>
      <c r="CK123" s="253">
        <v>0</v>
      </c>
      <c r="CL123" s="253"/>
      <c r="CM123" s="253"/>
      <c r="CN123" s="253">
        <v>0.55750892100000005</v>
      </c>
      <c r="CO123" s="253">
        <v>0.99966692300000004</v>
      </c>
      <c r="CP123" s="253">
        <v>960</v>
      </c>
      <c r="CQ123" s="30">
        <v>0</v>
      </c>
      <c r="CR123" s="30"/>
      <c r="CS123" s="30"/>
      <c r="CT123" s="30">
        <v>0</v>
      </c>
      <c r="CU123" s="30"/>
      <c r="CV123" s="30"/>
      <c r="CW123" s="253">
        <v>0.4959184894</v>
      </c>
      <c r="CX123" s="253">
        <v>0.99588913400000001</v>
      </c>
      <c r="CY123" s="253">
        <v>954</v>
      </c>
      <c r="CZ123" s="252"/>
      <c r="DA123" s="252"/>
      <c r="DB123" s="252"/>
      <c r="DC123" s="253">
        <v>0</v>
      </c>
      <c r="DD123" s="253"/>
      <c r="DE123" s="253"/>
      <c r="DF123" s="171" t="s">
        <v>119</v>
      </c>
      <c r="DG123" s="252" t="s">
        <v>395</v>
      </c>
    </row>
    <row r="124" spans="2:115" s="231" customFormat="1" x14ac:dyDescent="0.35">
      <c r="B124" s="252" t="str">
        <f t="shared" si="2"/>
        <v>iBoxx MSCI ESG USD Emerging Markets Sovereigns Quality Weighted45626</v>
      </c>
      <c r="C124" s="256">
        <v>5</v>
      </c>
      <c r="D124" s="256" t="s">
        <v>498</v>
      </c>
      <c r="E124" s="256" t="s">
        <v>229</v>
      </c>
      <c r="F124" s="257">
        <v>45626</v>
      </c>
      <c r="G124" s="256">
        <v>314</v>
      </c>
      <c r="H124" s="256">
        <v>314</v>
      </c>
      <c r="I124" s="256">
        <v>0</v>
      </c>
      <c r="J124" s="258">
        <v>1</v>
      </c>
      <c r="K124" s="258">
        <v>0</v>
      </c>
      <c r="L124" s="256" t="s">
        <v>455</v>
      </c>
      <c r="M124" s="256">
        <v>4.7240483680000001</v>
      </c>
      <c r="N124" s="256">
        <v>1</v>
      </c>
      <c r="O124" s="256">
        <v>314</v>
      </c>
      <c r="P124" s="256">
        <v>5.2735253359999996</v>
      </c>
      <c r="Q124" s="256">
        <v>1</v>
      </c>
      <c r="R124" s="256">
        <v>314</v>
      </c>
      <c r="S124" s="256">
        <v>6.1939321090000004</v>
      </c>
      <c r="T124" s="256">
        <v>1</v>
      </c>
      <c r="U124" s="256">
        <v>314</v>
      </c>
      <c r="V124" s="256">
        <v>5.9827603810000003</v>
      </c>
      <c r="W124" s="256">
        <v>1</v>
      </c>
      <c r="X124" s="256">
        <v>314</v>
      </c>
      <c r="Y124" s="256">
        <v>40.77445599</v>
      </c>
      <c r="Z124" s="256">
        <v>0.98924655800000005</v>
      </c>
      <c r="AA124" s="256">
        <v>313</v>
      </c>
      <c r="AB124" s="256">
        <v>54.954777229999998</v>
      </c>
      <c r="AC124" s="256">
        <v>1</v>
      </c>
      <c r="AD124" s="256">
        <v>314</v>
      </c>
      <c r="AE124" s="256">
        <v>0</v>
      </c>
      <c r="AF124" s="256"/>
      <c r="AG124" s="256"/>
      <c r="AH124" s="256">
        <v>0</v>
      </c>
      <c r="AI124" s="256"/>
      <c r="AJ124" s="256"/>
      <c r="AK124" s="256">
        <v>7.368396283</v>
      </c>
      <c r="AL124" s="256">
        <v>1</v>
      </c>
      <c r="AM124" s="256">
        <v>314</v>
      </c>
      <c r="AN124" s="256">
        <v>0.23375884</v>
      </c>
      <c r="AO124" s="256">
        <v>1</v>
      </c>
      <c r="AP124" s="256">
        <v>314</v>
      </c>
      <c r="AQ124" s="262" t="s">
        <v>460</v>
      </c>
      <c r="AR124" s="253">
        <v>0</v>
      </c>
      <c r="AS124" s="253">
        <v>0</v>
      </c>
      <c r="AT124" s="259"/>
      <c r="AU124" s="259"/>
      <c r="AV124" s="259"/>
      <c r="AW124" s="259"/>
      <c r="AX124" s="259"/>
      <c r="AY124" s="259"/>
      <c r="AZ124" s="259"/>
      <c r="BA124" s="259"/>
      <c r="BB124" s="259"/>
      <c r="BC124" s="259"/>
      <c r="BD124" s="259"/>
      <c r="BE124" s="259"/>
      <c r="BF124" s="259"/>
      <c r="BG124" s="259"/>
      <c r="BH124" s="259"/>
      <c r="BI124" s="259"/>
      <c r="BJ124" s="259"/>
      <c r="BK124" s="259"/>
      <c r="BL124" s="256"/>
      <c r="BM124" s="256"/>
      <c r="BN124" s="256"/>
      <c r="BO124" s="256">
        <v>0</v>
      </c>
      <c r="BP124" s="256"/>
      <c r="BQ124" s="256"/>
      <c r="BR124" s="256"/>
      <c r="BS124" s="256"/>
      <c r="BT124" s="256"/>
      <c r="BU124" s="256"/>
      <c r="BV124" s="256">
        <v>1.8161159999999999E-2</v>
      </c>
      <c r="BW124" s="256">
        <v>1.8161159999999999E-2</v>
      </c>
      <c r="BX124" s="256">
        <v>7</v>
      </c>
      <c r="BY124" s="256">
        <v>0</v>
      </c>
      <c r="BZ124" s="256">
        <v>1</v>
      </c>
      <c r="CA124" s="256">
        <v>314</v>
      </c>
      <c r="CB124" s="256">
        <v>0</v>
      </c>
      <c r="CC124" s="256">
        <v>1</v>
      </c>
      <c r="CD124" s="256">
        <v>314</v>
      </c>
      <c r="CE124" s="256">
        <v>0</v>
      </c>
      <c r="CF124" s="256"/>
      <c r="CG124" s="256"/>
      <c r="CH124" s="261" t="s">
        <v>460</v>
      </c>
      <c r="CI124" s="256">
        <v>0</v>
      </c>
      <c r="CJ124" s="256">
        <v>0</v>
      </c>
      <c r="CK124" s="261" t="s">
        <v>460</v>
      </c>
      <c r="CL124" s="256">
        <v>0</v>
      </c>
      <c r="CM124" s="256">
        <v>0</v>
      </c>
      <c r="CN124" s="256"/>
      <c r="CO124" s="256"/>
      <c r="CP124" s="256"/>
      <c r="CQ124" s="256">
        <v>0</v>
      </c>
      <c r="CR124" s="256"/>
      <c r="CS124" s="256"/>
      <c r="CT124" s="256">
        <v>0</v>
      </c>
      <c r="CU124" s="256"/>
      <c r="CV124" s="256"/>
      <c r="CW124" s="256">
        <v>0</v>
      </c>
      <c r="CX124" s="256"/>
      <c r="CY124" s="256"/>
      <c r="CZ124" s="259"/>
      <c r="DA124" s="259"/>
      <c r="DB124" s="259"/>
      <c r="DC124" s="261" t="s">
        <v>460</v>
      </c>
      <c r="DD124" s="256">
        <v>0</v>
      </c>
      <c r="DE124" s="256">
        <v>0</v>
      </c>
      <c r="DF124" s="171" t="s">
        <v>230</v>
      </c>
      <c r="DG124" s="252" t="s">
        <v>395</v>
      </c>
      <c r="DK124"/>
    </row>
    <row r="125" spans="2:115" x14ac:dyDescent="0.35">
      <c r="B125" s="252" t="str">
        <f t="shared" si="2"/>
        <v>iBoxx MSCI EUR Senior Corporates Investment Grade ESG Factor Weighted (version 2)45626</v>
      </c>
      <c r="C125" s="253">
        <v>54</v>
      </c>
      <c r="D125" s="253" t="s">
        <v>499</v>
      </c>
      <c r="E125" s="253" t="s">
        <v>241</v>
      </c>
      <c r="F125" s="254">
        <v>45626</v>
      </c>
      <c r="G125" s="253">
        <v>2968</v>
      </c>
      <c r="H125" s="253">
        <v>0</v>
      </c>
      <c r="I125" s="253">
        <v>2968</v>
      </c>
      <c r="J125" s="255">
        <v>0</v>
      </c>
      <c r="K125" s="255">
        <v>1</v>
      </c>
      <c r="L125" s="253" t="s">
        <v>444</v>
      </c>
      <c r="M125" s="253">
        <v>7.5198804590000004</v>
      </c>
      <c r="N125" s="253">
        <v>0.99506415699999995</v>
      </c>
      <c r="O125" s="253">
        <v>2959</v>
      </c>
      <c r="P125" s="253">
        <v>7.1826383810000003</v>
      </c>
      <c r="Q125" s="253">
        <v>0.99506415699999995</v>
      </c>
      <c r="R125" s="253">
        <v>2959</v>
      </c>
      <c r="S125" s="253">
        <v>5.3666296520000003</v>
      </c>
      <c r="T125" s="253">
        <v>0.99506415699999995</v>
      </c>
      <c r="U125" s="253">
        <v>2959</v>
      </c>
      <c r="V125" s="253">
        <v>6.2979923470000001</v>
      </c>
      <c r="W125" s="253">
        <v>0.99506415699999995</v>
      </c>
      <c r="X125" s="253">
        <v>2959</v>
      </c>
      <c r="Y125" s="253">
        <v>0</v>
      </c>
      <c r="Z125" s="253"/>
      <c r="AA125" s="253"/>
      <c r="AB125" s="253">
        <v>0</v>
      </c>
      <c r="AC125" s="253"/>
      <c r="AD125" s="253"/>
      <c r="AE125" s="253">
        <v>0.1363938942</v>
      </c>
      <c r="AF125" s="253">
        <v>0.79411986199999995</v>
      </c>
      <c r="AG125" s="253">
        <v>2365</v>
      </c>
      <c r="AH125" s="253">
        <v>4.4617381009999999</v>
      </c>
      <c r="AI125" s="253">
        <v>0.41633308200000002</v>
      </c>
      <c r="AJ125" s="253">
        <v>1142</v>
      </c>
      <c r="AK125" s="253">
        <v>0</v>
      </c>
      <c r="AL125" s="253"/>
      <c r="AM125" s="253"/>
      <c r="AN125" s="253">
        <v>0</v>
      </c>
      <c r="AO125" s="253"/>
      <c r="AP125" s="253"/>
      <c r="AQ125" s="253">
        <v>0</v>
      </c>
      <c r="AR125" s="253"/>
      <c r="AS125" s="253"/>
      <c r="AT125" s="252"/>
      <c r="AU125" s="252"/>
      <c r="AV125" s="252"/>
      <c r="AW125" s="252"/>
      <c r="AX125" s="252"/>
      <c r="AY125" s="252"/>
      <c r="AZ125" s="252"/>
      <c r="BA125" s="252"/>
      <c r="BB125" s="252"/>
      <c r="BC125" s="252"/>
      <c r="BD125" s="252"/>
      <c r="BE125" s="252"/>
      <c r="BF125" s="252"/>
      <c r="BG125" s="252"/>
      <c r="BH125" s="252"/>
      <c r="BI125" s="252"/>
      <c r="BJ125" s="252"/>
      <c r="BK125" s="252"/>
      <c r="BL125" s="253">
        <v>0.55080188699999999</v>
      </c>
      <c r="BM125" s="253">
        <v>1</v>
      </c>
      <c r="BN125" s="253">
        <v>2968</v>
      </c>
      <c r="BO125" s="253">
        <v>57.244004859999997</v>
      </c>
      <c r="BP125" s="253">
        <v>0.99506415699999995</v>
      </c>
      <c r="BQ125" s="253">
        <v>2959</v>
      </c>
      <c r="BR125" s="253">
        <v>0.87100606800000002</v>
      </c>
      <c r="BS125" s="253">
        <v>6.7110091999999996E-2</v>
      </c>
      <c r="BT125" s="253">
        <v>1</v>
      </c>
      <c r="BU125" s="253">
        <v>2968</v>
      </c>
      <c r="BV125" s="253">
        <v>0.141265424</v>
      </c>
      <c r="BW125" s="253">
        <v>0.141265424</v>
      </c>
      <c r="BX125" s="253">
        <v>503</v>
      </c>
      <c r="BY125" s="253">
        <v>0</v>
      </c>
      <c r="BZ125" s="253">
        <v>0.99506415699999995</v>
      </c>
      <c r="CA125" s="253">
        <v>2959</v>
      </c>
      <c r="CB125" s="253">
        <v>6.6626539999999996E-3</v>
      </c>
      <c r="CC125" s="253">
        <v>0.99506415699999995</v>
      </c>
      <c r="CD125" s="253">
        <v>2959</v>
      </c>
      <c r="CE125" s="253">
        <v>0</v>
      </c>
      <c r="CF125" s="253">
        <v>0.99506415699999995</v>
      </c>
      <c r="CG125" s="253">
        <v>2959</v>
      </c>
      <c r="CH125" s="253"/>
      <c r="CI125" s="253"/>
      <c r="CJ125" s="253"/>
      <c r="CK125" s="253">
        <v>0</v>
      </c>
      <c r="CL125" s="253"/>
      <c r="CM125" s="253"/>
      <c r="CN125" s="253">
        <v>0.220984241</v>
      </c>
      <c r="CO125" s="253">
        <v>0.99506415699999995</v>
      </c>
      <c r="CP125" s="253">
        <v>2959</v>
      </c>
      <c r="CQ125" s="253">
        <v>30</v>
      </c>
      <c r="CR125" s="253">
        <v>2.9172337999999999E-2</v>
      </c>
      <c r="CS125" s="253">
        <v>70</v>
      </c>
      <c r="CT125" s="253">
        <v>10030011963</v>
      </c>
      <c r="CU125" s="253">
        <v>2.6124847999999999E-2</v>
      </c>
      <c r="CV125" s="253">
        <v>67</v>
      </c>
      <c r="CW125" s="253">
        <v>0.6993020204</v>
      </c>
      <c r="CX125" s="253">
        <v>0.99043680499999998</v>
      </c>
      <c r="CY125" s="253">
        <v>2917</v>
      </c>
      <c r="CZ125" s="252"/>
      <c r="DA125" s="252"/>
      <c r="DB125" s="252"/>
      <c r="DC125" s="253">
        <v>0</v>
      </c>
      <c r="DD125" s="253"/>
      <c r="DE125" s="253"/>
      <c r="DF125" s="171" t="s">
        <v>242</v>
      </c>
      <c r="DG125" s="252" t="s">
        <v>395</v>
      </c>
    </row>
    <row r="126" spans="2:115" x14ac:dyDescent="0.35">
      <c r="B126" s="252" t="str">
        <f t="shared" si="2"/>
        <v>iBoxx MSCI EUR Senior Corporates Investment Grade ESG Factor Weighted45626</v>
      </c>
      <c r="C126" s="253">
        <v>55</v>
      </c>
      <c r="D126" s="253" t="s">
        <v>502</v>
      </c>
      <c r="E126" s="253" t="s">
        <v>239</v>
      </c>
      <c r="F126" s="254">
        <v>45626</v>
      </c>
      <c r="G126" s="253">
        <v>3051</v>
      </c>
      <c r="H126" s="253">
        <v>0</v>
      </c>
      <c r="I126" s="253">
        <v>3051</v>
      </c>
      <c r="J126" s="255">
        <v>0</v>
      </c>
      <c r="K126" s="255">
        <v>1</v>
      </c>
      <c r="L126" s="253" t="s">
        <v>444</v>
      </c>
      <c r="M126" s="253">
        <v>7.5124873929999998</v>
      </c>
      <c r="N126" s="253">
        <v>0.99523574100000001</v>
      </c>
      <c r="O126" s="253">
        <v>3042</v>
      </c>
      <c r="P126" s="253">
        <v>7.1192195859999998</v>
      </c>
      <c r="Q126" s="253">
        <v>0.99523574100000001</v>
      </c>
      <c r="R126" s="253">
        <v>3042</v>
      </c>
      <c r="S126" s="253">
        <v>5.3915399019999999</v>
      </c>
      <c r="T126" s="253">
        <v>0.99523574100000001</v>
      </c>
      <c r="U126" s="253">
        <v>3042</v>
      </c>
      <c r="V126" s="253">
        <v>6.3234663700000002</v>
      </c>
      <c r="W126" s="253">
        <v>0.99523574100000001</v>
      </c>
      <c r="X126" s="253">
        <v>3042</v>
      </c>
      <c r="Y126" s="253">
        <v>0</v>
      </c>
      <c r="Z126" s="253"/>
      <c r="AA126" s="253"/>
      <c r="AB126" s="253">
        <v>0</v>
      </c>
      <c r="AC126" s="253"/>
      <c r="AD126" s="253"/>
      <c r="AE126" s="253">
        <v>0.13583106389999999</v>
      </c>
      <c r="AF126" s="253">
        <v>0.801848742</v>
      </c>
      <c r="AG126" s="253">
        <v>2444</v>
      </c>
      <c r="AH126" s="253">
        <v>4.2539972319999997</v>
      </c>
      <c r="AI126" s="253">
        <v>0.43443902600000001</v>
      </c>
      <c r="AJ126" s="253">
        <v>1217</v>
      </c>
      <c r="AK126" s="253">
        <v>0</v>
      </c>
      <c r="AL126" s="253"/>
      <c r="AM126" s="253"/>
      <c r="AN126" s="253">
        <v>0</v>
      </c>
      <c r="AO126" s="253"/>
      <c r="AP126" s="253"/>
      <c r="AQ126" s="253">
        <v>0</v>
      </c>
      <c r="AR126" s="253"/>
      <c r="AS126" s="253"/>
      <c r="AT126" s="252"/>
      <c r="AU126" s="252"/>
      <c r="AV126" s="252"/>
      <c r="AW126" s="252"/>
      <c r="AX126" s="252"/>
      <c r="AY126" s="252"/>
      <c r="AZ126" s="252"/>
      <c r="BA126" s="252"/>
      <c r="BB126" s="252"/>
      <c r="BC126" s="252"/>
      <c r="BD126" s="252"/>
      <c r="BE126" s="252"/>
      <c r="BF126" s="252"/>
      <c r="BG126" s="252"/>
      <c r="BH126" s="252"/>
      <c r="BI126" s="252"/>
      <c r="BJ126" s="252"/>
      <c r="BK126" s="252"/>
      <c r="BL126" s="253">
        <v>0.56297096800000002</v>
      </c>
      <c r="BM126" s="253">
        <v>1</v>
      </c>
      <c r="BN126" s="253">
        <v>3051</v>
      </c>
      <c r="BO126" s="253">
        <v>65.196325239999993</v>
      </c>
      <c r="BP126" s="253">
        <v>0.99523574100000001</v>
      </c>
      <c r="BQ126" s="253">
        <v>3042</v>
      </c>
      <c r="BR126" s="253">
        <v>0.87358294299999995</v>
      </c>
      <c r="BS126" s="253">
        <v>8.9501840999999999E-2</v>
      </c>
      <c r="BT126" s="253">
        <v>1</v>
      </c>
      <c r="BU126" s="253">
        <v>3051</v>
      </c>
      <c r="BV126" s="253">
        <v>0.139308285</v>
      </c>
      <c r="BW126" s="253">
        <v>0.139308285</v>
      </c>
      <c r="BX126" s="253">
        <v>513</v>
      </c>
      <c r="BY126" s="253">
        <v>0</v>
      </c>
      <c r="BZ126" s="253">
        <v>0.99523574100000001</v>
      </c>
      <c r="CA126" s="253">
        <v>3042</v>
      </c>
      <c r="CB126" s="253">
        <v>6.4388420000000002E-3</v>
      </c>
      <c r="CC126" s="253">
        <v>0.99523574100000001</v>
      </c>
      <c r="CD126" s="253">
        <v>3042</v>
      </c>
      <c r="CE126" s="253">
        <v>0</v>
      </c>
      <c r="CF126" s="253">
        <v>0.99523574100000001</v>
      </c>
      <c r="CG126" s="253">
        <v>3042</v>
      </c>
      <c r="CH126" s="253"/>
      <c r="CI126" s="253"/>
      <c r="CJ126" s="253"/>
      <c r="CK126" s="253">
        <v>0</v>
      </c>
      <c r="CL126" s="253"/>
      <c r="CM126" s="253"/>
      <c r="CN126" s="253">
        <v>0.220955967</v>
      </c>
      <c r="CO126" s="253">
        <v>0.99523574100000001</v>
      </c>
      <c r="CP126" s="253">
        <v>3042</v>
      </c>
      <c r="CQ126" s="253">
        <v>36</v>
      </c>
      <c r="CR126" s="253">
        <v>3.2404658000000003E-2</v>
      </c>
      <c r="CS126" s="253">
        <v>85</v>
      </c>
      <c r="CT126" s="253">
        <v>10340362224</v>
      </c>
      <c r="CU126" s="253">
        <v>2.9441687000000001E-2</v>
      </c>
      <c r="CV126" s="253">
        <v>82</v>
      </c>
      <c r="CW126" s="253">
        <v>0.69731510920000006</v>
      </c>
      <c r="CX126" s="253">
        <v>0.99076924899999996</v>
      </c>
      <c r="CY126" s="253">
        <v>3000</v>
      </c>
      <c r="CZ126" s="252"/>
      <c r="DA126" s="252"/>
      <c r="DB126" s="252"/>
      <c r="DC126" s="253">
        <v>0</v>
      </c>
      <c r="DD126" s="253"/>
      <c r="DE126" s="253"/>
      <c r="DF126" s="171" t="s">
        <v>240</v>
      </c>
      <c r="DG126" s="252" t="s">
        <v>395</v>
      </c>
    </row>
    <row r="127" spans="2:115" x14ac:dyDescent="0.35">
      <c r="B127" s="252" t="str">
        <f t="shared" si="2"/>
        <v>iBoxx MSCI ESG EUR Corporates45626</v>
      </c>
      <c r="C127" s="253">
        <v>56</v>
      </c>
      <c r="D127" s="253" t="s">
        <v>500</v>
      </c>
      <c r="E127" s="253" t="s">
        <v>206</v>
      </c>
      <c r="F127" s="254">
        <v>45626</v>
      </c>
      <c r="G127" s="253">
        <v>3099</v>
      </c>
      <c r="H127" s="253">
        <v>0</v>
      </c>
      <c r="I127" s="253">
        <v>3099</v>
      </c>
      <c r="J127" s="255">
        <v>0</v>
      </c>
      <c r="K127" s="255">
        <v>1</v>
      </c>
      <c r="L127" s="253" t="s">
        <v>444</v>
      </c>
      <c r="M127" s="253">
        <v>7.5576119070000001</v>
      </c>
      <c r="N127" s="253">
        <v>0.99643258300000004</v>
      </c>
      <c r="O127" s="253">
        <v>3090</v>
      </c>
      <c r="P127" s="253">
        <v>7.6305500430000004</v>
      </c>
      <c r="Q127" s="253">
        <v>0.99643258300000004</v>
      </c>
      <c r="R127" s="253">
        <v>3090</v>
      </c>
      <c r="S127" s="253">
        <v>5.2010201440000001</v>
      </c>
      <c r="T127" s="253">
        <v>0.99643258300000004</v>
      </c>
      <c r="U127" s="253">
        <v>3090</v>
      </c>
      <c r="V127" s="253">
        <v>6.179431954</v>
      </c>
      <c r="W127" s="253">
        <v>0.99643258300000004</v>
      </c>
      <c r="X127" s="253">
        <v>3090</v>
      </c>
      <c r="Y127" s="253">
        <v>0</v>
      </c>
      <c r="Z127" s="253"/>
      <c r="AA127" s="253"/>
      <c r="AB127" s="253">
        <v>0</v>
      </c>
      <c r="AC127" s="253"/>
      <c r="AD127" s="253"/>
      <c r="AE127" s="253">
        <v>0.14475470409999999</v>
      </c>
      <c r="AF127" s="253">
        <v>0.77969947299999998</v>
      </c>
      <c r="AG127" s="253">
        <v>2467</v>
      </c>
      <c r="AH127" s="253">
        <v>4.0032484850000003</v>
      </c>
      <c r="AI127" s="253">
        <v>0.34134639500000002</v>
      </c>
      <c r="AJ127" s="253">
        <v>1114</v>
      </c>
      <c r="AK127" s="253">
        <v>0</v>
      </c>
      <c r="AL127" s="253"/>
      <c r="AM127" s="253"/>
      <c r="AN127" s="253">
        <v>0</v>
      </c>
      <c r="AO127" s="253"/>
      <c r="AP127" s="253"/>
      <c r="AQ127" s="253">
        <v>0</v>
      </c>
      <c r="AR127" s="253"/>
      <c r="AS127" s="253"/>
      <c r="AT127" s="252"/>
      <c r="AU127" s="252"/>
      <c r="AV127" s="252"/>
      <c r="AW127" s="252"/>
      <c r="AX127" s="252"/>
      <c r="AY127" s="252"/>
      <c r="AZ127" s="252"/>
      <c r="BA127" s="252"/>
      <c r="BB127" s="252"/>
      <c r="BC127" s="252"/>
      <c r="BD127" s="252"/>
      <c r="BE127" s="252"/>
      <c r="BF127" s="252"/>
      <c r="BG127" s="252"/>
      <c r="BH127" s="252"/>
      <c r="BI127" s="252"/>
      <c r="BJ127" s="252"/>
      <c r="BK127" s="252"/>
      <c r="BL127" s="253">
        <v>0.38313855000000002</v>
      </c>
      <c r="BM127" s="253">
        <v>1</v>
      </c>
      <c r="BN127" s="253">
        <v>3099</v>
      </c>
      <c r="BO127" s="253">
        <v>40.608071459999998</v>
      </c>
      <c r="BP127" s="253">
        <v>0.99643258300000004</v>
      </c>
      <c r="BQ127" s="253">
        <v>3090</v>
      </c>
      <c r="BR127" s="253">
        <v>0.90034388899999995</v>
      </c>
      <c r="BS127" s="253">
        <v>3.7274390999999997E-2</v>
      </c>
      <c r="BT127" s="253">
        <v>1</v>
      </c>
      <c r="BU127" s="253">
        <v>3099</v>
      </c>
      <c r="BV127" s="253">
        <v>0.15089212599999999</v>
      </c>
      <c r="BW127" s="253">
        <v>0.15089212599999999</v>
      </c>
      <c r="BX127" s="253">
        <v>517</v>
      </c>
      <c r="BY127" s="253">
        <v>0</v>
      </c>
      <c r="BZ127" s="253">
        <v>0.99643258300000004</v>
      </c>
      <c r="CA127" s="253">
        <v>3090</v>
      </c>
      <c r="CB127" s="253">
        <v>0</v>
      </c>
      <c r="CC127" s="253">
        <v>0.99643258300000004</v>
      </c>
      <c r="CD127" s="253">
        <v>3090</v>
      </c>
      <c r="CE127" s="253">
        <v>0</v>
      </c>
      <c r="CF127" s="253">
        <v>0.99643258300000004</v>
      </c>
      <c r="CG127" s="253">
        <v>3090</v>
      </c>
      <c r="CH127" s="253"/>
      <c r="CI127" s="253"/>
      <c r="CJ127" s="253"/>
      <c r="CK127" s="253">
        <v>0</v>
      </c>
      <c r="CL127" s="253"/>
      <c r="CM127" s="253"/>
      <c r="CN127" s="253">
        <v>0.19623902700000001</v>
      </c>
      <c r="CO127" s="253">
        <v>0.99643258300000004</v>
      </c>
      <c r="CP127" s="253">
        <v>3090</v>
      </c>
      <c r="CQ127" s="253">
        <v>35</v>
      </c>
      <c r="CR127" s="253">
        <v>2.9247433E-2</v>
      </c>
      <c r="CS127" s="253">
        <v>78</v>
      </c>
      <c r="CT127" s="253">
        <v>10335607257</v>
      </c>
      <c r="CU127" s="253">
        <v>2.8660611999999999E-2</v>
      </c>
      <c r="CV127" s="253">
        <v>75</v>
      </c>
      <c r="CW127" s="253">
        <v>0.73369013480000012</v>
      </c>
      <c r="CX127" s="253">
        <v>0.97437874400000002</v>
      </c>
      <c r="CY127" s="253">
        <v>3036</v>
      </c>
      <c r="CZ127" s="252"/>
      <c r="DA127" s="252"/>
      <c r="DB127" s="252"/>
      <c r="DC127" s="253">
        <v>0</v>
      </c>
      <c r="DD127" s="253"/>
      <c r="DE127" s="253"/>
      <c r="DF127" s="171" t="s">
        <v>207</v>
      </c>
      <c r="DG127" s="252" t="s">
        <v>395</v>
      </c>
    </row>
    <row r="128" spans="2:115" x14ac:dyDescent="0.35">
      <c r="B128" s="252" t="str">
        <f t="shared" si="2"/>
        <v>iBoxx MSCI EUR Corporates Carbon and Governance Tilted45626</v>
      </c>
      <c r="C128" s="253">
        <v>57</v>
      </c>
      <c r="D128" s="253" t="s">
        <v>505</v>
      </c>
      <c r="E128" s="253" t="s">
        <v>235</v>
      </c>
      <c r="F128" s="254">
        <v>45626</v>
      </c>
      <c r="G128" s="253">
        <v>3947</v>
      </c>
      <c r="H128" s="253">
        <v>0</v>
      </c>
      <c r="I128" s="253">
        <v>3947</v>
      </c>
      <c r="J128" s="255">
        <v>0</v>
      </c>
      <c r="K128" s="255">
        <v>1</v>
      </c>
      <c r="L128" s="253" t="s">
        <v>444</v>
      </c>
      <c r="M128" s="253">
        <v>7.6337249270000003</v>
      </c>
      <c r="N128" s="253">
        <v>0.94028032900000003</v>
      </c>
      <c r="O128" s="253">
        <v>3725</v>
      </c>
      <c r="P128" s="253">
        <v>7.4030178439999998</v>
      </c>
      <c r="Q128" s="253">
        <v>0.94028032900000003</v>
      </c>
      <c r="R128" s="253">
        <v>3725</v>
      </c>
      <c r="S128" s="253">
        <v>5.1227056739999997</v>
      </c>
      <c r="T128" s="253">
        <v>0.94028032900000003</v>
      </c>
      <c r="U128" s="253">
        <v>3725</v>
      </c>
      <c r="V128" s="253">
        <v>6.4955426850000002</v>
      </c>
      <c r="W128" s="253">
        <v>0.94028032900000003</v>
      </c>
      <c r="X128" s="253">
        <v>3725</v>
      </c>
      <c r="Y128" s="253">
        <v>0</v>
      </c>
      <c r="Z128" s="253"/>
      <c r="AA128" s="253"/>
      <c r="AB128" s="253">
        <v>0</v>
      </c>
      <c r="AC128" s="253"/>
      <c r="AD128" s="253"/>
      <c r="AE128" s="253">
        <v>0.1352628726</v>
      </c>
      <c r="AF128" s="253">
        <v>0.77086718200000004</v>
      </c>
      <c r="AG128" s="253">
        <v>3065</v>
      </c>
      <c r="AH128" s="253">
        <v>4.4300769669999998</v>
      </c>
      <c r="AI128" s="253">
        <v>0.37918332599999999</v>
      </c>
      <c r="AJ128" s="253">
        <v>1545</v>
      </c>
      <c r="AK128" s="253">
        <v>0</v>
      </c>
      <c r="AL128" s="253"/>
      <c r="AM128" s="253"/>
      <c r="AN128" s="253">
        <v>0</v>
      </c>
      <c r="AO128" s="253"/>
      <c r="AP128" s="253"/>
      <c r="AQ128" s="253">
        <v>0</v>
      </c>
      <c r="AR128" s="253"/>
      <c r="AS128" s="253"/>
      <c r="AT128" s="252"/>
      <c r="AU128" s="252"/>
      <c r="AV128" s="252"/>
      <c r="AW128" s="252"/>
      <c r="AX128" s="252"/>
      <c r="AY128" s="252"/>
      <c r="AZ128" s="252"/>
      <c r="BA128" s="252"/>
      <c r="BB128" s="252"/>
      <c r="BC128" s="252"/>
      <c r="BD128" s="252"/>
      <c r="BE128" s="252"/>
      <c r="BF128" s="252"/>
      <c r="BG128" s="252"/>
      <c r="BH128" s="252"/>
      <c r="BI128" s="252"/>
      <c r="BJ128" s="252"/>
      <c r="BK128" s="252"/>
      <c r="BL128" s="253">
        <v>0.45981328900000001</v>
      </c>
      <c r="BM128" s="253">
        <v>1</v>
      </c>
      <c r="BN128" s="253">
        <v>3947</v>
      </c>
      <c r="BO128" s="253">
        <v>38.247355220000003</v>
      </c>
      <c r="BP128" s="253">
        <v>0.97559064399999995</v>
      </c>
      <c r="BQ128" s="253">
        <v>3862</v>
      </c>
      <c r="BR128" s="253">
        <v>0.84891881400000002</v>
      </c>
      <c r="BS128" s="253">
        <v>5.9186489000000002E-2</v>
      </c>
      <c r="BT128" s="253">
        <v>1</v>
      </c>
      <c r="BU128" s="253">
        <v>3947</v>
      </c>
      <c r="BV128" s="253">
        <v>0.164016047</v>
      </c>
      <c r="BW128" s="253">
        <v>0.164016047</v>
      </c>
      <c r="BX128" s="253">
        <v>673</v>
      </c>
      <c r="BY128" s="253">
        <v>0</v>
      </c>
      <c r="BZ128" s="253">
        <v>0.97709981199999996</v>
      </c>
      <c r="CA128" s="253">
        <v>3867</v>
      </c>
      <c r="CB128" s="253">
        <v>1.2246102E-2</v>
      </c>
      <c r="CC128" s="253">
        <v>0.97709981199999996</v>
      </c>
      <c r="CD128" s="253">
        <v>3867</v>
      </c>
      <c r="CE128" s="253">
        <v>0</v>
      </c>
      <c r="CF128" s="253">
        <v>0.97310014199999995</v>
      </c>
      <c r="CG128" s="253">
        <v>3851</v>
      </c>
      <c r="CH128" s="253"/>
      <c r="CI128" s="253"/>
      <c r="CJ128" s="253"/>
      <c r="CK128" s="253">
        <v>0</v>
      </c>
      <c r="CL128" s="253"/>
      <c r="CM128" s="253"/>
      <c r="CN128" s="253">
        <v>0.14644964999999999</v>
      </c>
      <c r="CO128" s="253">
        <v>0.94028032900000003</v>
      </c>
      <c r="CP128" s="253">
        <v>3725</v>
      </c>
      <c r="CQ128" s="253">
        <v>43</v>
      </c>
      <c r="CR128" s="253">
        <v>3.7553540000000003E-2</v>
      </c>
      <c r="CS128" s="253">
        <v>136</v>
      </c>
      <c r="CT128" s="253">
        <v>10446895767</v>
      </c>
      <c r="CU128" s="253">
        <v>3.0223641999999998E-2</v>
      </c>
      <c r="CV128" s="253">
        <v>116</v>
      </c>
      <c r="CW128" s="253">
        <v>0.74163033540000001</v>
      </c>
      <c r="CX128" s="253">
        <v>0.91902634400000005</v>
      </c>
      <c r="CY128" s="253">
        <v>3673</v>
      </c>
      <c r="CZ128" s="252"/>
      <c r="DA128" s="252"/>
      <c r="DB128" s="252"/>
      <c r="DC128" s="253">
        <v>0</v>
      </c>
      <c r="DD128" s="253"/>
      <c r="DE128" s="253"/>
      <c r="DF128" s="171" t="s">
        <v>236</v>
      </c>
      <c r="DG128" s="252" t="s">
        <v>395</v>
      </c>
    </row>
    <row r="129" spans="2:115" x14ac:dyDescent="0.35">
      <c r="B129" s="252" t="str">
        <f t="shared" si="2"/>
        <v>iBoxx MSCI ESG EUR Corporates BBB TCA45626</v>
      </c>
      <c r="C129" s="253">
        <v>58</v>
      </c>
      <c r="D129" s="253" t="s">
        <v>503</v>
      </c>
      <c r="E129" s="253" t="s">
        <v>210</v>
      </c>
      <c r="F129" s="254">
        <v>45626</v>
      </c>
      <c r="G129" s="253">
        <v>1678</v>
      </c>
      <c r="H129" s="253">
        <v>0</v>
      </c>
      <c r="I129" s="253">
        <v>1678</v>
      </c>
      <c r="J129" s="255">
        <v>0</v>
      </c>
      <c r="K129" s="255">
        <v>1</v>
      </c>
      <c r="L129" s="253" t="s">
        <v>444</v>
      </c>
      <c r="M129" s="253">
        <v>7.5426530769999998</v>
      </c>
      <c r="N129" s="253">
        <v>0.99860710399999997</v>
      </c>
      <c r="O129" s="253">
        <v>1675</v>
      </c>
      <c r="P129" s="253">
        <v>7.6150947819999999</v>
      </c>
      <c r="Q129" s="253">
        <v>0.99860710399999997</v>
      </c>
      <c r="R129" s="253">
        <v>1675</v>
      </c>
      <c r="S129" s="253">
        <v>5.5118474190000004</v>
      </c>
      <c r="T129" s="253">
        <v>0.99860710399999997</v>
      </c>
      <c r="U129" s="253">
        <v>1675</v>
      </c>
      <c r="V129" s="253">
        <v>6.3095335099999996</v>
      </c>
      <c r="W129" s="253">
        <v>0.99860710399999997</v>
      </c>
      <c r="X129" s="253">
        <v>1675</v>
      </c>
      <c r="Y129" s="253">
        <v>0</v>
      </c>
      <c r="Z129" s="253"/>
      <c r="AA129" s="253"/>
      <c r="AB129" s="253">
        <v>0</v>
      </c>
      <c r="AC129" s="253"/>
      <c r="AD129" s="253"/>
      <c r="AE129" s="253">
        <v>0.12931243149999999</v>
      </c>
      <c r="AF129" s="253">
        <v>0.83071623500000003</v>
      </c>
      <c r="AG129" s="253">
        <v>1398</v>
      </c>
      <c r="AH129" s="253">
        <v>4.9626767740000002</v>
      </c>
      <c r="AI129" s="253">
        <v>0.45154032500000002</v>
      </c>
      <c r="AJ129" s="253">
        <v>742</v>
      </c>
      <c r="AK129" s="253">
        <v>0</v>
      </c>
      <c r="AL129" s="253"/>
      <c r="AM129" s="253"/>
      <c r="AN129" s="253">
        <v>0</v>
      </c>
      <c r="AO129" s="253"/>
      <c r="AP129" s="253"/>
      <c r="AQ129" s="253">
        <v>0</v>
      </c>
      <c r="AR129" s="253"/>
      <c r="AS129" s="253"/>
      <c r="AT129" s="252"/>
      <c r="AU129" s="252"/>
      <c r="AV129" s="252"/>
      <c r="AW129" s="252"/>
      <c r="AX129" s="252"/>
      <c r="AY129" s="252"/>
      <c r="AZ129" s="252"/>
      <c r="BA129" s="252"/>
      <c r="BB129" s="252"/>
      <c r="BC129" s="252"/>
      <c r="BD129" s="252"/>
      <c r="BE129" s="252"/>
      <c r="BF129" s="252"/>
      <c r="BG129" s="252"/>
      <c r="BH129" s="252"/>
      <c r="BI129" s="252"/>
      <c r="BJ129" s="252"/>
      <c r="BK129" s="252"/>
      <c r="BL129" s="253">
        <v>0.44826565200000001</v>
      </c>
      <c r="BM129" s="253">
        <v>1</v>
      </c>
      <c r="BN129" s="253">
        <v>1678</v>
      </c>
      <c r="BO129" s="253">
        <v>72.202479170000004</v>
      </c>
      <c r="BP129" s="253">
        <v>0.99860710399999997</v>
      </c>
      <c r="BQ129" s="253">
        <v>1675</v>
      </c>
      <c r="BR129" s="253">
        <v>0.90119524699999998</v>
      </c>
      <c r="BS129" s="253">
        <v>2.3693850999999998E-2</v>
      </c>
      <c r="BT129" s="253">
        <v>1</v>
      </c>
      <c r="BU129" s="253">
        <v>1678</v>
      </c>
      <c r="BV129" s="253">
        <v>0.18481677399999999</v>
      </c>
      <c r="BW129" s="253">
        <v>0.18481677399999999</v>
      </c>
      <c r="BX129" s="253">
        <v>325</v>
      </c>
      <c r="BY129" s="253">
        <v>0</v>
      </c>
      <c r="BZ129" s="253">
        <v>0.99860710399999997</v>
      </c>
      <c r="CA129" s="253">
        <v>1675</v>
      </c>
      <c r="CB129" s="253">
        <v>0</v>
      </c>
      <c r="CC129" s="253">
        <v>0.99860710399999997</v>
      </c>
      <c r="CD129" s="253">
        <v>1675</v>
      </c>
      <c r="CE129" s="253">
        <v>0</v>
      </c>
      <c r="CF129" s="253">
        <v>0.99860710399999997</v>
      </c>
      <c r="CG129" s="253">
        <v>1675</v>
      </c>
      <c r="CH129" s="253"/>
      <c r="CI129" s="253"/>
      <c r="CJ129" s="253"/>
      <c r="CK129" s="253">
        <v>0</v>
      </c>
      <c r="CL129" s="253"/>
      <c r="CM129" s="253"/>
      <c r="CN129" s="253">
        <v>0.160475797</v>
      </c>
      <c r="CO129" s="253">
        <v>0.99860710399999997</v>
      </c>
      <c r="CP129" s="253">
        <v>1675</v>
      </c>
      <c r="CQ129" s="253">
        <v>13</v>
      </c>
      <c r="CR129" s="253">
        <v>2.6506386E-2</v>
      </c>
      <c r="CS129" s="253">
        <v>35</v>
      </c>
      <c r="CT129" s="253">
        <v>1580427797</v>
      </c>
      <c r="CU129" s="253">
        <v>2.6506386E-2</v>
      </c>
      <c r="CV129" s="253">
        <v>35</v>
      </c>
      <c r="CW129" s="253">
        <v>0.72676991599999996</v>
      </c>
      <c r="CX129" s="253">
        <v>0.98289506000000004</v>
      </c>
      <c r="CY129" s="253">
        <v>1651</v>
      </c>
      <c r="CZ129" s="252"/>
      <c r="DA129" s="252"/>
      <c r="DB129" s="252"/>
      <c r="DC129" s="253">
        <v>0</v>
      </c>
      <c r="DD129" s="253"/>
      <c r="DE129" s="253"/>
      <c r="DF129" s="171" t="s">
        <v>211</v>
      </c>
      <c r="DG129" s="252" t="s">
        <v>395</v>
      </c>
    </row>
    <row r="130" spans="2:115" x14ac:dyDescent="0.35">
      <c r="B130" s="252" t="str">
        <f t="shared" si="2"/>
        <v>iBoxx MSCI EUR Senior Corporates Investment Grade ESG Factor Weighted (version 3)45626</v>
      </c>
      <c r="C130" s="253">
        <v>59</v>
      </c>
      <c r="D130" s="253" t="s">
        <v>501</v>
      </c>
      <c r="E130" s="253" t="s">
        <v>243</v>
      </c>
      <c r="F130" s="254">
        <v>45626</v>
      </c>
      <c r="G130" s="253">
        <v>3051</v>
      </c>
      <c r="H130" s="253">
        <v>0</v>
      </c>
      <c r="I130" s="253">
        <v>3051</v>
      </c>
      <c r="J130" s="255">
        <v>0</v>
      </c>
      <c r="K130" s="255">
        <v>1</v>
      </c>
      <c r="L130" s="253" t="s">
        <v>444</v>
      </c>
      <c r="M130" s="253">
        <v>7.5124873929999998</v>
      </c>
      <c r="N130" s="253">
        <v>0.99523574100000001</v>
      </c>
      <c r="O130" s="253">
        <v>3042</v>
      </c>
      <c r="P130" s="253">
        <v>7.1192195859999998</v>
      </c>
      <c r="Q130" s="253">
        <v>0.99523574100000001</v>
      </c>
      <c r="R130" s="253">
        <v>3042</v>
      </c>
      <c r="S130" s="253">
        <v>5.3915399019999999</v>
      </c>
      <c r="T130" s="253">
        <v>0.99523574100000001</v>
      </c>
      <c r="U130" s="253">
        <v>3042</v>
      </c>
      <c r="V130" s="253">
        <v>6.3234663700000002</v>
      </c>
      <c r="W130" s="253">
        <v>0.99523574100000001</v>
      </c>
      <c r="X130" s="253">
        <v>3042</v>
      </c>
      <c r="Y130" s="253">
        <v>0</v>
      </c>
      <c r="Z130" s="253"/>
      <c r="AA130" s="253"/>
      <c r="AB130" s="253">
        <v>0</v>
      </c>
      <c r="AC130" s="253"/>
      <c r="AD130" s="253"/>
      <c r="AE130" s="253">
        <v>0.13583106389999999</v>
      </c>
      <c r="AF130" s="253">
        <v>0.801848742</v>
      </c>
      <c r="AG130" s="253">
        <v>2444</v>
      </c>
      <c r="AH130" s="253">
        <v>4.2539972319999997</v>
      </c>
      <c r="AI130" s="253">
        <v>0.43443902600000001</v>
      </c>
      <c r="AJ130" s="253">
        <v>1217</v>
      </c>
      <c r="AK130" s="253">
        <v>0</v>
      </c>
      <c r="AL130" s="253"/>
      <c r="AM130" s="253"/>
      <c r="AN130" s="253">
        <v>0</v>
      </c>
      <c r="AO130" s="253"/>
      <c r="AP130" s="253"/>
      <c r="AQ130" s="253">
        <v>0</v>
      </c>
      <c r="AR130" s="253"/>
      <c r="AS130" s="253"/>
      <c r="AT130" s="252"/>
      <c r="AU130" s="252"/>
      <c r="AV130" s="252"/>
      <c r="AW130" s="252"/>
      <c r="AX130" s="252"/>
      <c r="AY130" s="252"/>
      <c r="AZ130" s="252"/>
      <c r="BA130" s="252"/>
      <c r="BB130" s="252"/>
      <c r="BC130" s="252"/>
      <c r="BD130" s="252"/>
      <c r="BE130" s="252"/>
      <c r="BF130" s="252"/>
      <c r="BG130" s="252"/>
      <c r="BH130" s="252"/>
      <c r="BI130" s="252"/>
      <c r="BJ130" s="252"/>
      <c r="BK130" s="252"/>
      <c r="BL130" s="253">
        <v>0.56297096800000002</v>
      </c>
      <c r="BM130" s="253">
        <v>1</v>
      </c>
      <c r="BN130" s="253">
        <v>3051</v>
      </c>
      <c r="BO130" s="253">
        <v>65.196325239999993</v>
      </c>
      <c r="BP130" s="253">
        <v>0.99523574100000001</v>
      </c>
      <c r="BQ130" s="253">
        <v>3042</v>
      </c>
      <c r="BR130" s="253">
        <v>0.87358294299999995</v>
      </c>
      <c r="BS130" s="253">
        <v>8.9501840999999999E-2</v>
      </c>
      <c r="BT130" s="253">
        <v>1</v>
      </c>
      <c r="BU130" s="253">
        <v>3051</v>
      </c>
      <c r="BV130" s="253">
        <v>0.139308285</v>
      </c>
      <c r="BW130" s="253">
        <v>0.139308285</v>
      </c>
      <c r="BX130" s="253">
        <v>513</v>
      </c>
      <c r="BY130" s="253">
        <v>0</v>
      </c>
      <c r="BZ130" s="253">
        <v>0.99523574100000001</v>
      </c>
      <c r="CA130" s="253">
        <v>3042</v>
      </c>
      <c r="CB130" s="253">
        <v>6.4388420000000002E-3</v>
      </c>
      <c r="CC130" s="253">
        <v>0.99523574100000001</v>
      </c>
      <c r="CD130" s="253">
        <v>3042</v>
      </c>
      <c r="CE130" s="253">
        <v>0</v>
      </c>
      <c r="CF130" s="253">
        <v>0.99523574100000001</v>
      </c>
      <c r="CG130" s="253">
        <v>3042</v>
      </c>
      <c r="CH130" s="253"/>
      <c r="CI130" s="253"/>
      <c r="CJ130" s="253"/>
      <c r="CK130" s="253">
        <v>0</v>
      </c>
      <c r="CL130" s="253"/>
      <c r="CM130" s="253"/>
      <c r="CN130" s="253">
        <v>0.220955967</v>
      </c>
      <c r="CO130" s="253">
        <v>0.99523574100000001</v>
      </c>
      <c r="CP130" s="253">
        <v>3042</v>
      </c>
      <c r="CQ130" s="253">
        <v>36</v>
      </c>
      <c r="CR130" s="253">
        <v>3.2404658000000003E-2</v>
      </c>
      <c r="CS130" s="253">
        <v>85</v>
      </c>
      <c r="CT130" s="253">
        <v>10340362224</v>
      </c>
      <c r="CU130" s="253">
        <v>2.9441687000000001E-2</v>
      </c>
      <c r="CV130" s="253">
        <v>82</v>
      </c>
      <c r="CW130" s="253">
        <v>0.69731510920000006</v>
      </c>
      <c r="CX130" s="253">
        <v>0.99076924899999996</v>
      </c>
      <c r="CY130" s="253">
        <v>3000</v>
      </c>
      <c r="CZ130" s="252"/>
      <c r="DA130" s="252"/>
      <c r="DB130" s="252"/>
      <c r="DC130" s="253">
        <v>0</v>
      </c>
      <c r="DD130" s="253"/>
      <c r="DE130" s="253"/>
      <c r="DF130" s="171" t="s">
        <v>244</v>
      </c>
      <c r="DG130" s="252" t="s">
        <v>395</v>
      </c>
    </row>
    <row r="131" spans="2:115" x14ac:dyDescent="0.35">
      <c r="B131" s="252" t="str">
        <f t="shared" si="2"/>
        <v>iBoxx MSCI ESG EUR Financials TCA45626</v>
      </c>
      <c r="C131" s="253">
        <v>60</v>
      </c>
      <c r="D131" s="253" t="s">
        <v>504</v>
      </c>
      <c r="E131" s="253" t="s">
        <v>213</v>
      </c>
      <c r="F131" s="254">
        <v>45626</v>
      </c>
      <c r="G131" s="253">
        <v>1289</v>
      </c>
      <c r="H131" s="253">
        <v>0</v>
      </c>
      <c r="I131" s="253">
        <v>1289</v>
      </c>
      <c r="J131" s="255">
        <v>0</v>
      </c>
      <c r="K131" s="255">
        <v>1</v>
      </c>
      <c r="L131" s="253" t="s">
        <v>444</v>
      </c>
      <c r="M131" s="253">
        <v>7.6056496439999997</v>
      </c>
      <c r="N131" s="253">
        <v>1</v>
      </c>
      <c r="O131" s="253">
        <v>1289</v>
      </c>
      <c r="P131" s="253">
        <v>7.7844831460000004</v>
      </c>
      <c r="Q131" s="253">
        <v>1</v>
      </c>
      <c r="R131" s="253">
        <v>1289</v>
      </c>
      <c r="S131" s="253">
        <v>4.8954663160000003</v>
      </c>
      <c r="T131" s="253">
        <v>1</v>
      </c>
      <c r="U131" s="253">
        <v>1289</v>
      </c>
      <c r="V131" s="253">
        <v>6.2310800759999996</v>
      </c>
      <c r="W131" s="253">
        <v>1</v>
      </c>
      <c r="X131" s="253">
        <v>1289</v>
      </c>
      <c r="Y131" s="253">
        <v>0</v>
      </c>
      <c r="Z131" s="253"/>
      <c r="AA131" s="253"/>
      <c r="AB131" s="253">
        <v>0</v>
      </c>
      <c r="AC131" s="253"/>
      <c r="AD131" s="253"/>
      <c r="AE131" s="253">
        <v>0.16567098600000002</v>
      </c>
      <c r="AF131" s="253">
        <v>0.754148606</v>
      </c>
      <c r="AG131" s="253">
        <v>997</v>
      </c>
      <c r="AH131" s="253">
        <v>4.7737238230000001</v>
      </c>
      <c r="AI131" s="253">
        <v>0.18015071599999999</v>
      </c>
      <c r="AJ131" s="253">
        <v>252</v>
      </c>
      <c r="AK131" s="253">
        <v>0</v>
      </c>
      <c r="AL131" s="253"/>
      <c r="AM131" s="253"/>
      <c r="AN131" s="253">
        <v>0</v>
      </c>
      <c r="AO131" s="253"/>
      <c r="AP131" s="253"/>
      <c r="AQ131" s="253">
        <v>0</v>
      </c>
      <c r="AR131" s="253"/>
      <c r="AS131" s="253"/>
      <c r="AT131" s="252"/>
      <c r="AU131" s="252"/>
      <c r="AV131" s="252"/>
      <c r="AW131" s="252"/>
      <c r="AX131" s="252"/>
      <c r="AY131" s="252"/>
      <c r="AZ131" s="252"/>
      <c r="BA131" s="252"/>
      <c r="BB131" s="252"/>
      <c r="BC131" s="252"/>
      <c r="BD131" s="252"/>
      <c r="BE131" s="252"/>
      <c r="BF131" s="252"/>
      <c r="BG131" s="252"/>
      <c r="BH131" s="252"/>
      <c r="BI131" s="252"/>
      <c r="BJ131" s="252"/>
      <c r="BK131" s="252"/>
      <c r="BL131" s="253">
        <v>9.0705833E-2</v>
      </c>
      <c r="BM131" s="253">
        <v>1</v>
      </c>
      <c r="BN131" s="253">
        <v>1289</v>
      </c>
      <c r="BO131" s="253">
        <v>1.3023808059999999</v>
      </c>
      <c r="BP131" s="253">
        <v>1</v>
      </c>
      <c r="BQ131" s="253">
        <v>1289</v>
      </c>
      <c r="BR131" s="253">
        <v>0.92198811899999999</v>
      </c>
      <c r="BS131">
        <v>0</v>
      </c>
      <c r="BT131" s="253">
        <v>1</v>
      </c>
      <c r="BU131" s="253">
        <v>1289</v>
      </c>
      <c r="BV131" s="253">
        <v>0.19923001900000001</v>
      </c>
      <c r="BW131" s="253">
        <v>0.19923001900000001</v>
      </c>
      <c r="BX131" s="253">
        <v>303</v>
      </c>
      <c r="BY131" s="253">
        <v>0</v>
      </c>
      <c r="BZ131" s="253">
        <v>1</v>
      </c>
      <c r="CA131" s="253">
        <v>1289</v>
      </c>
      <c r="CB131" s="253">
        <v>0</v>
      </c>
      <c r="CC131" s="253">
        <v>1</v>
      </c>
      <c r="CD131" s="253">
        <v>1289</v>
      </c>
      <c r="CE131" s="253">
        <v>0</v>
      </c>
      <c r="CF131" s="253">
        <v>1</v>
      </c>
      <c r="CG131" s="253">
        <v>1289</v>
      </c>
      <c r="CH131" s="253"/>
      <c r="CI131" s="253"/>
      <c r="CJ131" s="253"/>
      <c r="CK131" s="253">
        <v>0</v>
      </c>
      <c r="CL131" s="253"/>
      <c r="CM131" s="253"/>
      <c r="CN131" s="253">
        <v>0.26887789000000001</v>
      </c>
      <c r="CO131" s="253">
        <v>1</v>
      </c>
      <c r="CP131" s="253">
        <v>1289</v>
      </c>
      <c r="CQ131" s="253">
        <v>15</v>
      </c>
      <c r="CR131" s="253">
        <v>3.7172129999999998E-2</v>
      </c>
      <c r="CS131" s="253">
        <v>37</v>
      </c>
      <c r="CT131" s="253">
        <v>6883001345</v>
      </c>
      <c r="CU131" s="253">
        <v>3.6557279999999998E-2</v>
      </c>
      <c r="CV131" s="253">
        <v>35</v>
      </c>
      <c r="CW131" s="253">
        <v>0.77391331530000007</v>
      </c>
      <c r="CX131" s="253">
        <v>0.96323572700000004</v>
      </c>
      <c r="CY131" s="253">
        <v>1245</v>
      </c>
      <c r="CZ131" s="252"/>
      <c r="DA131" s="252"/>
      <c r="DB131" s="252"/>
      <c r="DC131" s="253">
        <v>0</v>
      </c>
      <c r="DD131" s="253"/>
      <c r="DE131" s="253"/>
      <c r="DF131" s="171" t="s">
        <v>214</v>
      </c>
      <c r="DG131" s="252" t="s">
        <v>395</v>
      </c>
    </row>
    <row r="132" spans="2:115" x14ac:dyDescent="0.35">
      <c r="B132" s="252" t="str">
        <f t="shared" si="2"/>
        <v>iBoxx MSCI EUR High Yield Paris Aligned Capped TCA45626</v>
      </c>
      <c r="C132" s="253">
        <v>74</v>
      </c>
      <c r="D132" s="253" t="s">
        <v>507</v>
      </c>
      <c r="E132" s="253" t="s">
        <v>237</v>
      </c>
      <c r="F132" s="254">
        <v>45626</v>
      </c>
      <c r="G132" s="253">
        <v>389</v>
      </c>
      <c r="H132" s="253">
        <v>0</v>
      </c>
      <c r="I132" s="253">
        <v>389</v>
      </c>
      <c r="J132" s="255">
        <v>0</v>
      </c>
      <c r="K132" s="255">
        <v>1</v>
      </c>
      <c r="L132" s="253" t="s">
        <v>444</v>
      </c>
      <c r="M132" s="253">
        <v>6.7276581069999999</v>
      </c>
      <c r="N132" s="253">
        <v>1</v>
      </c>
      <c r="O132" s="253">
        <v>389</v>
      </c>
      <c r="P132" s="253">
        <v>6.7962856140000003</v>
      </c>
      <c r="Q132" s="253">
        <v>1</v>
      </c>
      <c r="R132" s="253">
        <v>389</v>
      </c>
      <c r="S132" s="253">
        <v>5.0008793220000003</v>
      </c>
      <c r="T132" s="253">
        <v>1</v>
      </c>
      <c r="U132" s="253">
        <v>389</v>
      </c>
      <c r="V132" s="253">
        <v>5.9647901499999998</v>
      </c>
      <c r="W132" s="253">
        <v>1</v>
      </c>
      <c r="X132" s="253">
        <v>389</v>
      </c>
      <c r="Y132" s="253">
        <v>0</v>
      </c>
      <c r="Z132" s="253"/>
      <c r="AA132" s="253"/>
      <c r="AB132" s="253">
        <v>0</v>
      </c>
      <c r="AC132" s="253"/>
      <c r="AD132" s="253"/>
      <c r="AE132" s="253">
        <v>0.1313021113</v>
      </c>
      <c r="AF132" s="253">
        <v>0.76219261599999999</v>
      </c>
      <c r="AG132" s="253">
        <v>297</v>
      </c>
      <c r="AH132" s="253">
        <v>7.8910815129999996</v>
      </c>
      <c r="AI132" s="253">
        <v>0.48726290100000003</v>
      </c>
      <c r="AJ132" s="253">
        <v>173</v>
      </c>
      <c r="AK132" s="253">
        <v>0</v>
      </c>
      <c r="AL132" s="253"/>
      <c r="AM132" s="253"/>
      <c r="AN132" s="253">
        <v>0</v>
      </c>
      <c r="AO132" s="253"/>
      <c r="AP132" s="253"/>
      <c r="AQ132" s="253">
        <v>0</v>
      </c>
      <c r="AR132" s="253"/>
      <c r="AS132" s="253"/>
      <c r="AT132" s="252"/>
      <c r="AU132" s="252"/>
      <c r="AV132" s="252"/>
      <c r="AW132" s="252"/>
      <c r="AX132" s="252"/>
      <c r="AY132" s="252"/>
      <c r="AZ132" s="252"/>
      <c r="BA132" s="252"/>
      <c r="BB132" s="252"/>
      <c r="BC132" s="252"/>
      <c r="BD132" s="252"/>
      <c r="BE132" s="252"/>
      <c r="BF132" s="252"/>
      <c r="BG132" s="252"/>
      <c r="BH132" s="252"/>
      <c r="BI132" s="252"/>
      <c r="BJ132" s="252"/>
      <c r="BK132" s="252"/>
      <c r="BL132" s="253">
        <v>0.47992979499999999</v>
      </c>
      <c r="BM132" s="253">
        <v>1</v>
      </c>
      <c r="BN132" s="253">
        <v>389</v>
      </c>
      <c r="BO132" s="253">
        <v>56.358210730000003</v>
      </c>
      <c r="BP132" s="253">
        <v>1</v>
      </c>
      <c r="BQ132" s="253">
        <v>389</v>
      </c>
      <c r="BR132" s="253">
        <v>0.91684111899999998</v>
      </c>
      <c r="BS132" s="253">
        <v>1.5675970000000001E-2</v>
      </c>
      <c r="BT132" s="253">
        <v>1</v>
      </c>
      <c r="BU132" s="253">
        <v>389</v>
      </c>
      <c r="BV132" s="253">
        <v>0.14391695099999999</v>
      </c>
      <c r="BW132" s="253">
        <v>0.14391695099999999</v>
      </c>
      <c r="BX132" s="253">
        <v>60</v>
      </c>
      <c r="BY132" s="253">
        <v>0</v>
      </c>
      <c r="BZ132" s="253">
        <v>1</v>
      </c>
      <c r="CA132" s="253">
        <v>389</v>
      </c>
      <c r="CB132" s="253">
        <v>0</v>
      </c>
      <c r="CC132" s="253">
        <v>1</v>
      </c>
      <c r="CD132" s="253">
        <v>389</v>
      </c>
      <c r="CE132" s="253">
        <v>0</v>
      </c>
      <c r="CF132" s="253">
        <v>1</v>
      </c>
      <c r="CG132" s="253">
        <v>389</v>
      </c>
      <c r="CH132" s="253"/>
      <c r="CI132" s="253"/>
      <c r="CJ132" s="253"/>
      <c r="CK132" s="253">
        <v>0</v>
      </c>
      <c r="CL132" s="253"/>
      <c r="CM132" s="253"/>
      <c r="CN132" s="253">
        <v>0.20419316000000001</v>
      </c>
      <c r="CO132" s="253">
        <v>1</v>
      </c>
      <c r="CP132" s="253">
        <v>389</v>
      </c>
      <c r="CQ132" s="253">
        <v>2</v>
      </c>
      <c r="CR132" s="253">
        <v>4.307076E-3</v>
      </c>
      <c r="CS132" s="253">
        <v>1</v>
      </c>
      <c r="CT132" s="253">
        <v>54789614.060000002</v>
      </c>
      <c r="CU132" s="253">
        <v>4.307076E-3</v>
      </c>
      <c r="CV132" s="253">
        <v>1</v>
      </c>
      <c r="CW132" s="253">
        <v>0.56502947280000004</v>
      </c>
      <c r="CX132" s="253">
        <v>0.995471412</v>
      </c>
      <c r="CY132" s="253">
        <v>384</v>
      </c>
      <c r="CZ132" s="252"/>
      <c r="DA132" s="252"/>
      <c r="DB132" s="252"/>
      <c r="DC132" s="253">
        <v>0</v>
      </c>
      <c r="DD132" s="253"/>
      <c r="DE132" s="253"/>
      <c r="DF132" s="171" t="s">
        <v>238</v>
      </c>
      <c r="DG132" s="252" t="s">
        <v>395</v>
      </c>
    </row>
    <row r="133" spans="2:115" x14ac:dyDescent="0.35">
      <c r="B133" s="252" t="str">
        <f t="shared" si="2"/>
        <v>iBoxx MSCI ESG EUR High Yield Corporates TCA45626</v>
      </c>
      <c r="C133" s="253">
        <v>75</v>
      </c>
      <c r="D133" s="253" t="s">
        <v>506</v>
      </c>
      <c r="E133" s="253" t="s">
        <v>219</v>
      </c>
      <c r="F133" s="254">
        <v>45626</v>
      </c>
      <c r="G133" s="253">
        <v>267</v>
      </c>
      <c r="H133" s="253">
        <v>0</v>
      </c>
      <c r="I133" s="253">
        <v>267</v>
      </c>
      <c r="J133" s="255">
        <v>0</v>
      </c>
      <c r="K133" s="255">
        <v>1</v>
      </c>
      <c r="L133" s="253" t="s">
        <v>444</v>
      </c>
      <c r="M133" s="253">
        <v>7.0311537289999997</v>
      </c>
      <c r="N133" s="253">
        <v>1</v>
      </c>
      <c r="O133" s="253">
        <v>267</v>
      </c>
      <c r="P133" s="253">
        <v>6.8286522060000001</v>
      </c>
      <c r="Q133" s="253">
        <v>1</v>
      </c>
      <c r="R133" s="253">
        <v>267</v>
      </c>
      <c r="S133" s="253">
        <v>5.1923937450000004</v>
      </c>
      <c r="T133" s="253">
        <v>1</v>
      </c>
      <c r="U133" s="253">
        <v>267</v>
      </c>
      <c r="V133" s="253">
        <v>6.2302027669999998</v>
      </c>
      <c r="W133" s="253">
        <v>1</v>
      </c>
      <c r="X133" s="253">
        <v>267</v>
      </c>
      <c r="Y133" s="253">
        <v>0</v>
      </c>
      <c r="Z133" s="253"/>
      <c r="AA133" s="253"/>
      <c r="AB133" s="253">
        <v>0</v>
      </c>
      <c r="AC133" s="253"/>
      <c r="AD133" s="253"/>
      <c r="AE133" s="253">
        <v>0.11842477530000001</v>
      </c>
      <c r="AF133" s="253">
        <v>0.78312093800000004</v>
      </c>
      <c r="AG133" s="253">
        <v>209</v>
      </c>
      <c r="AH133" s="253">
        <v>8.6463507069999999</v>
      </c>
      <c r="AI133" s="253">
        <v>0.56051962399999999</v>
      </c>
      <c r="AJ133" s="253">
        <v>147</v>
      </c>
      <c r="AK133" s="253">
        <v>0</v>
      </c>
      <c r="AL133" s="253"/>
      <c r="AM133" s="253"/>
      <c r="AN133" s="253">
        <v>0</v>
      </c>
      <c r="AO133" s="253"/>
      <c r="AP133" s="253"/>
      <c r="AQ133" s="253">
        <v>0</v>
      </c>
      <c r="AR133" s="253"/>
      <c r="AS133" s="253"/>
      <c r="AT133" s="252"/>
      <c r="AU133" s="252"/>
      <c r="AV133" s="252"/>
      <c r="AW133" s="252"/>
      <c r="AX133" s="252"/>
      <c r="AY133" s="252"/>
      <c r="AZ133" s="252"/>
      <c r="BA133" s="252"/>
      <c r="BB133" s="252"/>
      <c r="BC133" s="252"/>
      <c r="BD133" s="252"/>
      <c r="BE133" s="252"/>
      <c r="BF133" s="252"/>
      <c r="BG133" s="252"/>
      <c r="BH133" s="252"/>
      <c r="BI133" s="252"/>
      <c r="BJ133" s="252"/>
      <c r="BK133" s="252"/>
      <c r="BL133" s="253">
        <v>0.460689601</v>
      </c>
      <c r="BM133" s="253">
        <v>1</v>
      </c>
      <c r="BN133" s="253">
        <v>267</v>
      </c>
      <c r="BO133" s="253">
        <v>64.495961989999998</v>
      </c>
      <c r="BP133" s="253">
        <v>1</v>
      </c>
      <c r="BQ133" s="253">
        <v>267</v>
      </c>
      <c r="BR133" s="253">
        <v>0.93666015300000005</v>
      </c>
      <c r="BS133" s="253">
        <v>2.3613702E-2</v>
      </c>
      <c r="BT133" s="253">
        <v>1</v>
      </c>
      <c r="BU133" s="253">
        <v>267</v>
      </c>
      <c r="BV133" s="253">
        <v>0.157419788</v>
      </c>
      <c r="BW133" s="253">
        <v>0.157419788</v>
      </c>
      <c r="BX133" s="253">
        <v>42</v>
      </c>
      <c r="BY133" s="253">
        <v>0</v>
      </c>
      <c r="BZ133" s="253">
        <v>1</v>
      </c>
      <c r="CA133" s="253">
        <v>267</v>
      </c>
      <c r="CB133" s="253">
        <v>0</v>
      </c>
      <c r="CC133" s="253">
        <v>1</v>
      </c>
      <c r="CD133" s="253">
        <v>267</v>
      </c>
      <c r="CE133" s="253">
        <v>0</v>
      </c>
      <c r="CF133" s="253">
        <v>1</v>
      </c>
      <c r="CG133" s="253">
        <v>267</v>
      </c>
      <c r="CH133" s="253"/>
      <c r="CI133" s="253"/>
      <c r="CJ133" s="253"/>
      <c r="CK133" s="253">
        <v>0</v>
      </c>
      <c r="CL133" s="253"/>
      <c r="CM133" s="253"/>
      <c r="CN133" s="253">
        <v>0.18900344999999999</v>
      </c>
      <c r="CO133" s="253">
        <v>1</v>
      </c>
      <c r="CP133" s="253">
        <v>267</v>
      </c>
      <c r="CQ133" s="30">
        <v>0</v>
      </c>
      <c r="CR133" s="30"/>
      <c r="CS133" s="30"/>
      <c r="CT133" s="30">
        <v>0</v>
      </c>
      <c r="CU133" s="30"/>
      <c r="CV133" s="30"/>
      <c r="CW133" s="253">
        <v>0.57532324810000002</v>
      </c>
      <c r="CX133" s="253">
        <v>1</v>
      </c>
      <c r="CY133" s="253">
        <v>267</v>
      </c>
      <c r="CZ133" s="252"/>
      <c r="DA133" s="252"/>
      <c r="DB133" s="252"/>
      <c r="DC133" s="253">
        <v>0</v>
      </c>
      <c r="DD133" s="253"/>
      <c r="DE133" s="253"/>
      <c r="DF133" s="171" t="s">
        <v>220</v>
      </c>
      <c r="DG133" s="252" t="s">
        <v>395</v>
      </c>
    </row>
    <row r="134" spans="2:115" x14ac:dyDescent="0.35">
      <c r="B134" s="252" t="str">
        <f t="shared" si="2"/>
        <v>iBoxx MSCI ESG EUR Corporates 0-1 TCA45626</v>
      </c>
      <c r="C134" s="253">
        <v>98</v>
      </c>
      <c r="D134" s="253" t="s">
        <v>509</v>
      </c>
      <c r="E134" s="253" t="s">
        <v>208</v>
      </c>
      <c r="F134" s="254">
        <v>45626</v>
      </c>
      <c r="G134" s="253">
        <v>277</v>
      </c>
      <c r="H134" s="253">
        <v>0</v>
      </c>
      <c r="I134" s="253">
        <v>277</v>
      </c>
      <c r="J134" s="255">
        <v>0</v>
      </c>
      <c r="K134" s="255">
        <v>1</v>
      </c>
      <c r="L134" s="253" t="s">
        <v>444</v>
      </c>
      <c r="M134" s="253">
        <v>7.5009030970000001</v>
      </c>
      <c r="N134" s="253">
        <v>0.99277275099999995</v>
      </c>
      <c r="O134" s="253">
        <v>276</v>
      </c>
      <c r="P134" s="253">
        <v>7.5687806540000002</v>
      </c>
      <c r="Q134" s="253">
        <v>0.99277275099999995</v>
      </c>
      <c r="R134" s="253">
        <v>276</v>
      </c>
      <c r="S134" s="253">
        <v>5.1038813779999996</v>
      </c>
      <c r="T134" s="253">
        <v>0.99277275099999995</v>
      </c>
      <c r="U134" s="253">
        <v>276</v>
      </c>
      <c r="V134" s="253">
        <v>6.1195814659999996</v>
      </c>
      <c r="W134" s="253">
        <v>0.99277275099999995</v>
      </c>
      <c r="X134" s="253">
        <v>276</v>
      </c>
      <c r="Y134" s="253">
        <v>0</v>
      </c>
      <c r="Z134" s="253"/>
      <c r="AA134" s="253"/>
      <c r="AB134" s="253">
        <v>0</v>
      </c>
      <c r="AC134" s="253"/>
      <c r="AD134" s="253"/>
      <c r="AE134" s="253">
        <v>0.13930930289999999</v>
      </c>
      <c r="AF134" s="253">
        <v>0.78252599</v>
      </c>
      <c r="AG134" s="253">
        <v>221</v>
      </c>
      <c r="AH134" s="253">
        <v>3.5095011889999999</v>
      </c>
      <c r="AI134" s="253">
        <v>0.322255866</v>
      </c>
      <c r="AJ134" s="253">
        <v>101</v>
      </c>
      <c r="AK134" s="253">
        <v>0</v>
      </c>
      <c r="AL134" s="253"/>
      <c r="AM134" s="253"/>
      <c r="AN134" s="253">
        <v>0</v>
      </c>
      <c r="AO134" s="253"/>
      <c r="AP134" s="253"/>
      <c r="AQ134" s="253">
        <v>0</v>
      </c>
      <c r="AR134" s="253"/>
      <c r="AS134" s="253"/>
      <c r="AT134" s="252"/>
      <c r="AU134" s="252"/>
      <c r="AV134" s="252"/>
      <c r="AW134" s="252"/>
      <c r="AX134" s="252"/>
      <c r="AY134" s="252"/>
      <c r="AZ134" s="252"/>
      <c r="BA134" s="252"/>
      <c r="BB134" s="252"/>
      <c r="BC134" s="252"/>
      <c r="BD134" s="252"/>
      <c r="BE134" s="252"/>
      <c r="BF134" s="252"/>
      <c r="BG134" s="252"/>
      <c r="BH134" s="252"/>
      <c r="BI134" s="252"/>
      <c r="BJ134" s="252"/>
      <c r="BK134" s="252"/>
      <c r="BL134" s="253">
        <v>0.42997666899999998</v>
      </c>
      <c r="BM134" s="253">
        <v>1</v>
      </c>
      <c r="BN134" s="253">
        <v>277</v>
      </c>
      <c r="BO134" s="253">
        <v>54.543578709999998</v>
      </c>
      <c r="BP134" s="253">
        <v>0.99277275099999995</v>
      </c>
      <c r="BQ134" s="253">
        <v>276</v>
      </c>
      <c r="BR134" s="253">
        <v>0.91006637199999996</v>
      </c>
      <c r="BS134" s="253">
        <v>4.1227306999999998E-2</v>
      </c>
      <c r="BT134" s="253">
        <v>1</v>
      </c>
      <c r="BU134" s="253">
        <v>277</v>
      </c>
      <c r="BV134" s="253">
        <v>7.9283938999999998E-2</v>
      </c>
      <c r="BW134" s="253">
        <v>7.9283938999999998E-2</v>
      </c>
      <c r="BX134" s="253">
        <v>28</v>
      </c>
      <c r="BY134" s="253">
        <v>0</v>
      </c>
      <c r="BZ134" s="253">
        <v>0.99277275099999995</v>
      </c>
      <c r="CA134" s="253">
        <v>276</v>
      </c>
      <c r="CB134" s="253">
        <v>0</v>
      </c>
      <c r="CC134" s="253">
        <v>0.99277275099999995</v>
      </c>
      <c r="CD134" s="253">
        <v>276</v>
      </c>
      <c r="CE134" s="253">
        <v>0</v>
      </c>
      <c r="CF134" s="253">
        <v>0.99277275099999995</v>
      </c>
      <c r="CG134" s="253">
        <v>276</v>
      </c>
      <c r="CH134" s="253"/>
      <c r="CI134" s="253"/>
      <c r="CJ134" s="253"/>
      <c r="CK134" s="253">
        <v>0</v>
      </c>
      <c r="CL134" s="253"/>
      <c r="CM134" s="253"/>
      <c r="CN134" s="253">
        <v>0.20902856</v>
      </c>
      <c r="CO134" s="253">
        <v>0.99277275099999995</v>
      </c>
      <c r="CP134" s="253">
        <v>276</v>
      </c>
      <c r="CQ134" s="253">
        <v>12</v>
      </c>
      <c r="CR134" s="253">
        <v>2.6167292000000002E-2</v>
      </c>
      <c r="CS134" s="253">
        <v>5</v>
      </c>
      <c r="CT134" s="253">
        <v>7328826414</v>
      </c>
      <c r="CU134" s="253">
        <v>2.3716626000000001E-2</v>
      </c>
      <c r="CV134" s="253">
        <v>4</v>
      </c>
      <c r="CW134" s="253">
        <v>0.72185637479999998</v>
      </c>
      <c r="CX134" s="253">
        <v>0.959834254</v>
      </c>
      <c r="CY134" s="253">
        <v>271</v>
      </c>
      <c r="CZ134" s="252"/>
      <c r="DA134" s="252"/>
      <c r="DB134" s="252"/>
      <c r="DC134" s="253">
        <v>0</v>
      </c>
      <c r="DD134" s="253"/>
      <c r="DE134" s="253"/>
      <c r="DF134" s="171" t="s">
        <v>209</v>
      </c>
      <c r="DG134" s="252" t="s">
        <v>395</v>
      </c>
    </row>
    <row r="135" spans="2:115" x14ac:dyDescent="0.35">
      <c r="B135" s="252" t="str">
        <f t="shared" si="2"/>
        <v>iBoxx MSCI ESG EUR Liquid Investment Grade Ultrashort45626</v>
      </c>
      <c r="C135" s="253">
        <v>99</v>
      </c>
      <c r="D135" s="253" t="s">
        <v>508</v>
      </c>
      <c r="E135" s="253" t="s">
        <v>221</v>
      </c>
      <c r="F135" s="254">
        <v>45626</v>
      </c>
      <c r="G135" s="253">
        <v>457</v>
      </c>
      <c r="H135" s="253">
        <v>0</v>
      </c>
      <c r="I135" s="253">
        <v>457</v>
      </c>
      <c r="J135" s="255">
        <v>0</v>
      </c>
      <c r="K135" s="255">
        <v>1</v>
      </c>
      <c r="L135" s="253" t="s">
        <v>444</v>
      </c>
      <c r="M135" s="253">
        <v>7.5300748950000003</v>
      </c>
      <c r="N135" s="253">
        <v>0.99557539500000003</v>
      </c>
      <c r="O135" s="253">
        <v>456</v>
      </c>
      <c r="P135" s="253">
        <v>7.6602648520000001</v>
      </c>
      <c r="Q135" s="253">
        <v>0.99557539500000003</v>
      </c>
      <c r="R135" s="253">
        <v>456</v>
      </c>
      <c r="S135" s="253">
        <v>5.0318298459999999</v>
      </c>
      <c r="T135" s="253">
        <v>0.99557539500000003</v>
      </c>
      <c r="U135" s="253">
        <v>456</v>
      </c>
      <c r="V135" s="253">
        <v>6.1267743939999999</v>
      </c>
      <c r="W135" s="253">
        <v>0.99557539500000003</v>
      </c>
      <c r="X135" s="253">
        <v>456</v>
      </c>
      <c r="Y135" s="253">
        <v>0</v>
      </c>
      <c r="Z135" s="253"/>
      <c r="AA135" s="253"/>
      <c r="AB135" s="253">
        <v>0</v>
      </c>
      <c r="AC135" s="253"/>
      <c r="AD135" s="253"/>
      <c r="AE135" s="253">
        <v>0.13512642429999999</v>
      </c>
      <c r="AF135" s="253">
        <v>0.76437569999999999</v>
      </c>
      <c r="AG135" s="253">
        <v>348</v>
      </c>
      <c r="AH135" s="253">
        <v>4.2418546199999998</v>
      </c>
      <c r="AI135" s="253">
        <v>0.28242375800000002</v>
      </c>
      <c r="AJ135" s="253">
        <v>148</v>
      </c>
      <c r="AK135" s="253">
        <v>0</v>
      </c>
      <c r="AL135" s="253"/>
      <c r="AM135" s="253"/>
      <c r="AN135" s="253">
        <v>0</v>
      </c>
      <c r="AO135" s="253"/>
      <c r="AP135" s="253"/>
      <c r="AQ135" s="253">
        <v>0</v>
      </c>
      <c r="AR135" s="253"/>
      <c r="AS135" s="253"/>
      <c r="AT135" s="252"/>
      <c r="AU135" s="252"/>
      <c r="AV135" s="252"/>
      <c r="AW135" s="252"/>
      <c r="AX135" s="252"/>
      <c r="AY135" s="252"/>
      <c r="AZ135" s="252"/>
      <c r="BA135" s="252"/>
      <c r="BB135" s="252"/>
      <c r="BC135" s="252"/>
      <c r="BD135" s="252"/>
      <c r="BE135" s="252"/>
      <c r="BF135" s="252"/>
      <c r="BG135" s="252"/>
      <c r="BH135" s="252"/>
      <c r="BI135" s="252"/>
      <c r="BJ135" s="252"/>
      <c r="BK135" s="252"/>
      <c r="BL135" s="253">
        <v>0.34653691399999997</v>
      </c>
      <c r="BM135" s="253">
        <v>1</v>
      </c>
      <c r="BN135" s="253">
        <v>457</v>
      </c>
      <c r="BO135" s="253">
        <v>37.859964439999999</v>
      </c>
      <c r="BP135" s="253">
        <v>0.99557539500000003</v>
      </c>
      <c r="BQ135" s="253">
        <v>456</v>
      </c>
      <c r="BR135" s="253">
        <v>0.91257643399999999</v>
      </c>
      <c r="BS135" s="253">
        <v>3.0167948E-2</v>
      </c>
      <c r="BT135" s="253">
        <v>1</v>
      </c>
      <c r="BU135" s="253">
        <v>457</v>
      </c>
      <c r="BV135" s="253">
        <v>7.2394317E-2</v>
      </c>
      <c r="BW135" s="253">
        <v>7.2394317E-2</v>
      </c>
      <c r="BX135" s="253">
        <v>43</v>
      </c>
      <c r="BY135" s="253">
        <v>0</v>
      </c>
      <c r="BZ135" s="253">
        <v>0.99557539500000003</v>
      </c>
      <c r="CA135" s="253">
        <v>456</v>
      </c>
      <c r="CB135" s="253">
        <v>0</v>
      </c>
      <c r="CC135" s="253">
        <v>0.99557539500000003</v>
      </c>
      <c r="CD135" s="253">
        <v>456</v>
      </c>
      <c r="CE135" s="253">
        <v>0</v>
      </c>
      <c r="CF135" s="253">
        <v>0.99557539500000003</v>
      </c>
      <c r="CG135" s="253">
        <v>456</v>
      </c>
      <c r="CH135" s="253"/>
      <c r="CI135" s="253"/>
      <c r="CJ135" s="253"/>
      <c r="CK135" s="253">
        <v>0</v>
      </c>
      <c r="CL135" s="253"/>
      <c r="CM135" s="253"/>
      <c r="CN135" s="253">
        <v>0.19516251500000001</v>
      </c>
      <c r="CO135" s="253">
        <v>0.99557539500000003</v>
      </c>
      <c r="CP135" s="253">
        <v>456</v>
      </c>
      <c r="CQ135" s="253">
        <v>15</v>
      </c>
      <c r="CR135" s="253">
        <v>3.7987729999999997E-2</v>
      </c>
      <c r="CS135" s="253">
        <v>14</v>
      </c>
      <c r="CT135" s="253">
        <v>7451426414</v>
      </c>
      <c r="CU135" s="253">
        <v>3.5593044999999997E-2</v>
      </c>
      <c r="CV135" s="253">
        <v>12</v>
      </c>
      <c r="CW135" s="253">
        <v>0.73034829820000002</v>
      </c>
      <c r="CX135" s="253">
        <v>0.96923145300000002</v>
      </c>
      <c r="CY135" s="253">
        <v>448</v>
      </c>
      <c r="CZ135" s="252"/>
      <c r="DA135" s="252"/>
      <c r="DB135" s="252"/>
      <c r="DC135" s="253">
        <v>0</v>
      </c>
      <c r="DD135" s="253"/>
      <c r="DE135" s="253"/>
      <c r="DF135" s="171" t="s">
        <v>222</v>
      </c>
      <c r="DG135" s="252" t="s">
        <v>395</v>
      </c>
    </row>
    <row r="136" spans="2:115" s="231" customFormat="1" x14ac:dyDescent="0.35">
      <c r="B136" s="252" t="str">
        <f t="shared" si="2"/>
        <v>iBoxx MSCI ESG GBP Non-Gilts45626</v>
      </c>
      <c r="C136" s="256">
        <v>105</v>
      </c>
      <c r="D136" s="256" t="s">
        <v>510</v>
      </c>
      <c r="E136" s="256" t="s">
        <v>225</v>
      </c>
      <c r="F136" s="257">
        <v>45626</v>
      </c>
      <c r="G136" s="256">
        <v>1029</v>
      </c>
      <c r="H136" s="256">
        <v>6</v>
      </c>
      <c r="I136" s="256">
        <v>1023</v>
      </c>
      <c r="J136" s="258">
        <v>6.0129279999999998E-3</v>
      </c>
      <c r="K136" s="258">
        <v>0.99398707200000003</v>
      </c>
      <c r="L136" s="256" t="s">
        <v>451</v>
      </c>
      <c r="M136" s="256">
        <v>7.5958163110000001</v>
      </c>
      <c r="N136" s="256">
        <v>0.99712946800000002</v>
      </c>
      <c r="O136" s="256">
        <v>1028</v>
      </c>
      <c r="P136" s="256">
        <v>7.3523042790000002</v>
      </c>
      <c r="Q136" s="256">
        <v>0.99712946800000002</v>
      </c>
      <c r="R136" s="256">
        <v>1028</v>
      </c>
      <c r="S136" s="256">
        <v>5.6886221490000004</v>
      </c>
      <c r="T136" s="256">
        <v>0.99712946800000002</v>
      </c>
      <c r="U136" s="256">
        <v>1028</v>
      </c>
      <c r="V136" s="256">
        <v>6.4474813050000002</v>
      </c>
      <c r="W136" s="256">
        <v>0.99712946800000002</v>
      </c>
      <c r="X136" s="256">
        <v>1028</v>
      </c>
      <c r="Y136" s="256">
        <v>34.530774510000001</v>
      </c>
      <c r="Z136" s="256">
        <v>2.0168902999999998E-2</v>
      </c>
      <c r="AA136" s="256">
        <v>16</v>
      </c>
      <c r="AB136" s="256">
        <v>67.521637819999995</v>
      </c>
      <c r="AC136" s="256">
        <v>1.2986918E-2</v>
      </c>
      <c r="AD136" s="256">
        <v>11</v>
      </c>
      <c r="AE136" s="256">
        <v>0.15918357820000001</v>
      </c>
      <c r="AF136" s="256">
        <v>0.80525073300000005</v>
      </c>
      <c r="AG136" s="256">
        <v>856</v>
      </c>
      <c r="AH136" s="256">
        <v>3.7132828779999998</v>
      </c>
      <c r="AI136" s="256">
        <v>0.19309859200000001</v>
      </c>
      <c r="AJ136" s="256">
        <v>205</v>
      </c>
      <c r="AK136" s="256">
        <v>7.5863027909999996</v>
      </c>
      <c r="AL136" s="256">
        <v>1.2986918E-2</v>
      </c>
      <c r="AM136" s="256">
        <v>11</v>
      </c>
      <c r="AN136" s="256">
        <v>0.69473859299999996</v>
      </c>
      <c r="AO136" s="256">
        <v>1.2986918E-2</v>
      </c>
      <c r="AP136" s="256">
        <v>11</v>
      </c>
      <c r="AQ136" s="262" t="s">
        <v>460</v>
      </c>
      <c r="AR136" s="253">
        <v>0</v>
      </c>
      <c r="AS136" s="253">
        <v>0</v>
      </c>
      <c r="AT136" s="259"/>
      <c r="AU136" s="259"/>
      <c r="AV136" s="259"/>
      <c r="AW136" s="259"/>
      <c r="AX136" s="259"/>
      <c r="AY136" s="259"/>
      <c r="AZ136" s="259"/>
      <c r="BA136" s="259"/>
      <c r="BB136" s="259"/>
      <c r="BC136" s="259"/>
      <c r="BD136" s="259"/>
      <c r="BE136" s="259"/>
      <c r="BF136" s="259"/>
      <c r="BG136" s="259"/>
      <c r="BH136" s="259"/>
      <c r="BI136" s="259"/>
      <c r="BJ136" s="259"/>
      <c r="BK136" s="259"/>
      <c r="BL136" s="256">
        <v>0.30686275400000002</v>
      </c>
      <c r="BM136" s="256">
        <v>0.99398707200000003</v>
      </c>
      <c r="BN136" s="256">
        <v>1023</v>
      </c>
      <c r="BO136" s="256">
        <v>17.068274800000001</v>
      </c>
      <c r="BP136" s="256">
        <v>0.97696056499999995</v>
      </c>
      <c r="BQ136" s="256">
        <v>1012</v>
      </c>
      <c r="BR136" s="256">
        <v>0.794976232</v>
      </c>
      <c r="BS136" s="256">
        <v>7.5054060000000001E-3</v>
      </c>
      <c r="BT136" s="256">
        <v>0.99398707200000003</v>
      </c>
      <c r="BU136" s="256">
        <v>1023</v>
      </c>
      <c r="BV136" s="256">
        <v>4.616638E-2</v>
      </c>
      <c r="BW136" s="256">
        <v>4.616638E-2</v>
      </c>
      <c r="BX136" s="256">
        <v>56</v>
      </c>
      <c r="BY136" s="256">
        <v>0</v>
      </c>
      <c r="BZ136" s="256">
        <v>0.99712946800000002</v>
      </c>
      <c r="CA136" s="256">
        <v>1028</v>
      </c>
      <c r="CB136" s="256">
        <v>0</v>
      </c>
      <c r="CC136" s="256">
        <v>0.99712946800000002</v>
      </c>
      <c r="CD136" s="256">
        <v>1028</v>
      </c>
      <c r="CE136" s="256">
        <v>0</v>
      </c>
      <c r="CF136" s="256">
        <v>0.97696056499999995</v>
      </c>
      <c r="CG136" s="256">
        <v>1012</v>
      </c>
      <c r="CH136" s="261" t="s">
        <v>460</v>
      </c>
      <c r="CI136" s="256">
        <v>0</v>
      </c>
      <c r="CJ136" s="256">
        <v>0</v>
      </c>
      <c r="CK136" s="261" t="s">
        <v>460</v>
      </c>
      <c r="CL136" s="256">
        <v>0</v>
      </c>
      <c r="CM136" s="256">
        <v>0</v>
      </c>
      <c r="CN136" s="256">
        <v>0.40902592900000001</v>
      </c>
      <c r="CO136" s="256">
        <v>0.97696056499999995</v>
      </c>
      <c r="CP136" s="256">
        <v>1012</v>
      </c>
      <c r="CQ136" s="256">
        <v>14</v>
      </c>
      <c r="CR136" s="256">
        <v>2.1197926999999998E-2</v>
      </c>
      <c r="CS136" s="256">
        <v>20</v>
      </c>
      <c r="CT136" s="256">
        <v>7339462164</v>
      </c>
      <c r="CU136" s="256">
        <v>2.0212052000000001E-2</v>
      </c>
      <c r="CV136" s="256">
        <v>18</v>
      </c>
      <c r="CW136" s="256">
        <v>0.7029987739000001</v>
      </c>
      <c r="CX136" s="256">
        <v>0.74423299899999995</v>
      </c>
      <c r="CY136" s="256">
        <v>856</v>
      </c>
      <c r="CZ136" s="259"/>
      <c r="DA136" s="259"/>
      <c r="DB136" s="259"/>
      <c r="DC136" s="261" t="s">
        <v>460</v>
      </c>
      <c r="DD136" s="256">
        <v>0</v>
      </c>
      <c r="DE136" s="256">
        <v>0</v>
      </c>
      <c r="DF136" s="171" t="s">
        <v>226</v>
      </c>
      <c r="DG136" s="252" t="s">
        <v>395</v>
      </c>
      <c r="DK136"/>
    </row>
    <row r="137" spans="2:115" ht="15" customHeight="1" x14ac:dyDescent="0.35">
      <c r="B137" s="252" t="str">
        <f t="shared" si="2"/>
        <v>iBoxx MSCI GBP Corporates Paris Aligned Capped TCA45626</v>
      </c>
      <c r="C137" s="253">
        <v>109</v>
      </c>
      <c r="D137" s="253" t="s">
        <v>511</v>
      </c>
      <c r="E137" s="253" t="s">
        <v>245</v>
      </c>
      <c r="F137" s="254">
        <v>45626</v>
      </c>
      <c r="G137" s="253">
        <v>653</v>
      </c>
      <c r="H137" s="253">
        <v>0</v>
      </c>
      <c r="I137" s="253">
        <v>653</v>
      </c>
      <c r="J137" s="255">
        <v>0</v>
      </c>
      <c r="K137" s="255">
        <v>1</v>
      </c>
      <c r="L137" s="253" t="s">
        <v>444</v>
      </c>
      <c r="M137" s="253">
        <v>7.5117371689999999</v>
      </c>
      <c r="N137" s="253">
        <v>1</v>
      </c>
      <c r="O137" s="253">
        <v>653</v>
      </c>
      <c r="P137" s="253">
        <v>7.8161428190000004</v>
      </c>
      <c r="Q137" s="253">
        <v>1</v>
      </c>
      <c r="R137" s="253">
        <v>653</v>
      </c>
      <c r="S137" s="253">
        <v>4.9132455659999996</v>
      </c>
      <c r="T137" s="253">
        <v>1</v>
      </c>
      <c r="U137" s="253">
        <v>653</v>
      </c>
      <c r="V137" s="253">
        <v>6.4050342990000004</v>
      </c>
      <c r="W137" s="253">
        <v>1</v>
      </c>
      <c r="X137" s="253">
        <v>653</v>
      </c>
      <c r="Y137" s="253">
        <v>0</v>
      </c>
      <c r="Z137" s="253"/>
      <c r="AA137" s="253"/>
      <c r="AB137" s="253">
        <v>0</v>
      </c>
      <c r="AC137" s="253"/>
      <c r="AD137" s="253"/>
      <c r="AE137" s="253">
        <v>0.16488587020000001</v>
      </c>
      <c r="AF137" s="253">
        <v>0.82045895800000002</v>
      </c>
      <c r="AG137" s="253">
        <v>559</v>
      </c>
      <c r="AH137" s="253">
        <v>3.9470366690000001</v>
      </c>
      <c r="AI137" s="253">
        <v>0.231931093</v>
      </c>
      <c r="AJ137" s="253">
        <v>149</v>
      </c>
      <c r="AK137" s="253">
        <v>0</v>
      </c>
      <c r="AL137" s="253"/>
      <c r="AM137" s="253"/>
      <c r="AN137" s="253">
        <v>0</v>
      </c>
      <c r="AO137" s="253"/>
      <c r="AP137" s="253"/>
      <c r="AQ137" s="253">
        <v>0</v>
      </c>
      <c r="AR137" s="253"/>
      <c r="AS137" s="253"/>
      <c r="AT137" s="252"/>
      <c r="AU137" s="252"/>
      <c r="AV137" s="252"/>
      <c r="AW137" s="252"/>
      <c r="AX137" s="252"/>
      <c r="AY137" s="252"/>
      <c r="AZ137" s="252"/>
      <c r="BA137" s="252"/>
      <c r="BB137" s="252"/>
      <c r="BC137" s="252"/>
      <c r="BD137" s="252"/>
      <c r="BE137" s="252"/>
      <c r="BF137" s="252"/>
      <c r="BG137" s="252"/>
      <c r="BH137" s="252"/>
      <c r="BI137" s="252"/>
      <c r="BJ137" s="252"/>
      <c r="BK137" s="252"/>
      <c r="BL137" s="253">
        <v>0.34242402700000002</v>
      </c>
      <c r="BM137" s="253">
        <v>1</v>
      </c>
      <c r="BN137" s="253">
        <v>653</v>
      </c>
      <c r="BO137" s="253">
        <v>13.68618356</v>
      </c>
      <c r="BP137" s="253">
        <v>1</v>
      </c>
      <c r="BQ137" s="253">
        <v>653</v>
      </c>
      <c r="BR137" s="253">
        <v>0.917311243</v>
      </c>
      <c r="BS137" s="253">
        <v>1.3676593000000001E-2</v>
      </c>
      <c r="BT137" s="253">
        <v>1</v>
      </c>
      <c r="BU137" s="253">
        <v>653</v>
      </c>
      <c r="BV137" s="253">
        <v>5.5396374999999998E-2</v>
      </c>
      <c r="BW137" s="253">
        <v>5.5396374999999998E-2</v>
      </c>
      <c r="BX137" s="253">
        <v>38</v>
      </c>
      <c r="BY137" s="253">
        <v>0</v>
      </c>
      <c r="BZ137" s="253">
        <v>1</v>
      </c>
      <c r="CA137" s="253">
        <v>653</v>
      </c>
      <c r="CB137" s="253">
        <v>0</v>
      </c>
      <c r="CC137" s="253">
        <v>1</v>
      </c>
      <c r="CD137" s="253">
        <v>653</v>
      </c>
      <c r="CE137" s="253">
        <v>0</v>
      </c>
      <c r="CF137" s="253">
        <v>1</v>
      </c>
      <c r="CG137" s="253">
        <v>653</v>
      </c>
      <c r="CH137" s="253"/>
      <c r="CI137" s="253"/>
      <c r="CJ137" s="253"/>
      <c r="CK137" s="253">
        <v>0</v>
      </c>
      <c r="CL137" s="253"/>
      <c r="CM137" s="253"/>
      <c r="CN137" s="253">
        <v>0.414088338</v>
      </c>
      <c r="CO137" s="253">
        <v>1</v>
      </c>
      <c r="CP137" s="253">
        <v>653</v>
      </c>
      <c r="CQ137" s="253">
        <v>14</v>
      </c>
      <c r="CR137" s="253">
        <v>4.4213789000000003E-2</v>
      </c>
      <c r="CS137" s="253">
        <v>22</v>
      </c>
      <c r="CT137" s="253">
        <v>7343811552</v>
      </c>
      <c r="CU137" s="253">
        <v>4.3385470000000002E-2</v>
      </c>
      <c r="CV137" s="253">
        <v>21</v>
      </c>
      <c r="CW137" s="253">
        <v>0.70734675319999996</v>
      </c>
      <c r="CX137" s="253">
        <v>0.97819163200000003</v>
      </c>
      <c r="CY137" s="253">
        <v>642</v>
      </c>
      <c r="CZ137" s="252"/>
      <c r="DA137" s="252"/>
      <c r="DB137" s="252"/>
      <c r="DC137" s="253">
        <v>0</v>
      </c>
      <c r="DD137" s="253"/>
      <c r="DE137" s="253"/>
      <c r="DF137" s="171" t="s">
        <v>245</v>
      </c>
      <c r="DG137" s="252" t="s">
        <v>395</v>
      </c>
    </row>
    <row r="138" spans="2:115" x14ac:dyDescent="0.35">
      <c r="B138" s="252" t="str">
        <f t="shared" si="2"/>
        <v>iBoxx MSCI ESG GBP Liquid Investment Grade Ultrashort45626</v>
      </c>
      <c r="C138" s="253">
        <v>149</v>
      </c>
      <c r="D138" s="253" t="s">
        <v>512</v>
      </c>
      <c r="E138" s="253" t="s">
        <v>223</v>
      </c>
      <c r="F138" s="254">
        <v>45626</v>
      </c>
      <c r="G138" s="253">
        <v>144</v>
      </c>
      <c r="H138" s="253">
        <v>0</v>
      </c>
      <c r="I138" s="253">
        <v>144</v>
      </c>
      <c r="J138" s="255">
        <v>0</v>
      </c>
      <c r="K138" s="255">
        <v>1</v>
      </c>
      <c r="L138" s="253" t="s">
        <v>444</v>
      </c>
      <c r="M138" s="253">
        <v>8.0810839790000006</v>
      </c>
      <c r="N138" s="253">
        <v>1</v>
      </c>
      <c r="O138" s="253">
        <v>144</v>
      </c>
      <c r="P138" s="253">
        <v>7.3247907190000001</v>
      </c>
      <c r="Q138" s="253">
        <v>1</v>
      </c>
      <c r="R138" s="253">
        <v>144</v>
      </c>
      <c r="S138" s="253">
        <v>5.4237561960000003</v>
      </c>
      <c r="T138" s="253">
        <v>1</v>
      </c>
      <c r="U138" s="253">
        <v>144</v>
      </c>
      <c r="V138" s="253">
        <v>7.0375974240000003</v>
      </c>
      <c r="W138" s="253">
        <v>1</v>
      </c>
      <c r="X138" s="253">
        <v>144</v>
      </c>
      <c r="Y138" s="253">
        <v>30.810042790000001</v>
      </c>
      <c r="Z138" s="253">
        <v>3.8440123E-2</v>
      </c>
      <c r="AA138" s="253">
        <v>6</v>
      </c>
      <c r="AB138" s="253">
        <v>81</v>
      </c>
      <c r="AC138" s="253">
        <v>5.9109540000000004E-3</v>
      </c>
      <c r="AD138" s="253">
        <v>2</v>
      </c>
      <c r="AE138" s="253">
        <v>0.1430438463</v>
      </c>
      <c r="AF138" s="253">
        <v>0.77793424899999997</v>
      </c>
      <c r="AG138" s="253">
        <v>109</v>
      </c>
      <c r="AH138" s="253">
        <v>2.1836335280000001</v>
      </c>
      <c r="AI138" s="253">
        <v>6.9008485999999994E-2</v>
      </c>
      <c r="AJ138" s="253">
        <v>12</v>
      </c>
      <c r="AK138" s="253">
        <v>8.7100000000000009</v>
      </c>
      <c r="AL138" s="253">
        <v>5.9109540000000004E-3</v>
      </c>
      <c r="AM138" s="253">
        <v>2</v>
      </c>
      <c r="AN138" s="253">
        <v>1.53</v>
      </c>
      <c r="AO138" s="253">
        <v>5.9109540000000004E-3</v>
      </c>
      <c r="AP138" s="253">
        <v>2</v>
      </c>
      <c r="AQ138" s="253">
        <v>192.53</v>
      </c>
      <c r="AR138" s="253">
        <v>5.9109540000000004E-3</v>
      </c>
      <c r="AS138" s="253">
        <v>2</v>
      </c>
      <c r="AT138" s="252"/>
      <c r="AU138" s="252"/>
      <c r="AV138" s="252"/>
      <c r="AW138" s="252"/>
      <c r="AX138" s="252"/>
      <c r="AY138" s="252"/>
      <c r="AZ138" s="252"/>
      <c r="BA138" s="252"/>
      <c r="BB138" s="252"/>
      <c r="BC138" s="252"/>
      <c r="BD138" s="252"/>
      <c r="BE138" s="252"/>
      <c r="BF138" s="252"/>
      <c r="BG138" s="252"/>
      <c r="BH138" s="252"/>
      <c r="BI138" s="252"/>
      <c r="BJ138" s="252"/>
      <c r="BK138" s="252"/>
      <c r="BL138" s="253">
        <v>5.7832682000000003E-2</v>
      </c>
      <c r="BM138" s="253">
        <v>1</v>
      </c>
      <c r="BN138" s="253">
        <v>144</v>
      </c>
      <c r="BO138" s="253">
        <v>3.1337402910000001</v>
      </c>
      <c r="BP138" s="253">
        <v>0.96747083199999995</v>
      </c>
      <c r="BQ138" s="253">
        <v>140</v>
      </c>
      <c r="BR138" s="253">
        <v>0.81512552800000004</v>
      </c>
      <c r="BS138" s="253">
        <v>7.2835139999999996E-3</v>
      </c>
      <c r="BT138" s="253">
        <v>1</v>
      </c>
      <c r="BU138" s="253">
        <v>144</v>
      </c>
      <c r="BV138" s="253">
        <v>1.4771635E-2</v>
      </c>
      <c r="BW138" s="253">
        <v>1.4771635E-2</v>
      </c>
      <c r="BX138" s="253">
        <v>4</v>
      </c>
      <c r="BY138" s="253">
        <v>0</v>
      </c>
      <c r="BZ138" s="253">
        <v>1</v>
      </c>
      <c r="CA138" s="253">
        <v>144</v>
      </c>
      <c r="CB138" s="253">
        <v>0</v>
      </c>
      <c r="CC138" s="253">
        <v>1</v>
      </c>
      <c r="CD138" s="253">
        <v>144</v>
      </c>
      <c r="CE138" s="253">
        <v>0</v>
      </c>
      <c r="CF138" s="253">
        <v>0.96747083199999995</v>
      </c>
      <c r="CG138" s="253">
        <v>140</v>
      </c>
      <c r="CH138" s="253"/>
      <c r="CI138" s="253">
        <v>5.9109540000000004E-3</v>
      </c>
      <c r="CJ138" s="253">
        <v>2</v>
      </c>
      <c r="CK138" s="253">
        <v>0.86</v>
      </c>
      <c r="CL138" s="253">
        <v>5.9109540000000004E-3</v>
      </c>
      <c r="CM138" s="253">
        <v>2</v>
      </c>
      <c r="CN138" s="253">
        <v>0.36257412300000003</v>
      </c>
      <c r="CO138" s="253">
        <v>0.96155987700000001</v>
      </c>
      <c r="CP138" s="253">
        <v>138</v>
      </c>
      <c r="CQ138" s="253">
        <v>11</v>
      </c>
      <c r="CR138" s="253">
        <v>5.3319428000000002E-2</v>
      </c>
      <c r="CS138" s="253">
        <v>5</v>
      </c>
      <c r="CT138" s="253">
        <v>6850902600</v>
      </c>
      <c r="CU138" s="253">
        <v>5.3319428000000002E-2</v>
      </c>
      <c r="CV138" s="253">
        <v>5</v>
      </c>
      <c r="CW138" s="253">
        <v>0.77560855989999988</v>
      </c>
      <c r="CX138" s="253">
        <v>0.654350019</v>
      </c>
      <c r="CY138" s="253">
        <v>93</v>
      </c>
      <c r="CZ138" s="252"/>
      <c r="DA138" s="252"/>
      <c r="DB138" s="252"/>
      <c r="DC138" s="253">
        <v>79</v>
      </c>
      <c r="DD138" s="253">
        <v>5.9109540000000004E-3</v>
      </c>
      <c r="DE138" s="253">
        <v>2</v>
      </c>
      <c r="DF138" s="171" t="s">
        <v>224</v>
      </c>
      <c r="DG138" s="252" t="s">
        <v>395</v>
      </c>
    </row>
    <row r="139" spans="2:115" x14ac:dyDescent="0.35">
      <c r="B139" s="252" t="str">
        <f t="shared" si="2"/>
        <v>iBoxx MSCI ESG EUR High Yield Corporates 1-3 TCA45626</v>
      </c>
      <c r="C139">
        <v>2129</v>
      </c>
      <c r="D139" t="s">
        <v>513</v>
      </c>
      <c r="E139" s="253" t="s">
        <v>217</v>
      </c>
      <c r="F139" s="26">
        <v>45626</v>
      </c>
      <c r="G139">
        <v>97</v>
      </c>
      <c r="H139">
        <v>0</v>
      </c>
      <c r="I139">
        <v>97</v>
      </c>
      <c r="J139">
        <v>0</v>
      </c>
      <c r="K139">
        <v>1</v>
      </c>
      <c r="L139" t="s">
        <v>444</v>
      </c>
      <c r="M139">
        <v>7.1193703729999998</v>
      </c>
      <c r="N139">
        <v>1</v>
      </c>
      <c r="O139">
        <v>97</v>
      </c>
      <c r="P139">
        <v>6.7727066679999997</v>
      </c>
      <c r="Q139">
        <v>1</v>
      </c>
      <c r="R139">
        <v>97</v>
      </c>
      <c r="S139">
        <v>5.041128949</v>
      </c>
      <c r="T139">
        <v>1</v>
      </c>
      <c r="U139">
        <v>97</v>
      </c>
      <c r="V139">
        <v>6.4343290509999997</v>
      </c>
      <c r="W139">
        <v>1</v>
      </c>
      <c r="X139">
        <v>97</v>
      </c>
      <c r="Y139">
        <v>0</v>
      </c>
      <c r="Z139"/>
      <c r="AA139"/>
      <c r="AB139">
        <v>0</v>
      </c>
      <c r="AC139"/>
      <c r="AD139"/>
      <c r="AE139">
        <v>10.952789040000001</v>
      </c>
      <c r="AF139">
        <v>0.77984529499999999</v>
      </c>
      <c r="AG139">
        <v>77</v>
      </c>
      <c r="AH139">
        <v>9.2229893910000005</v>
      </c>
      <c r="AI139">
        <v>0.57450620399999996</v>
      </c>
      <c r="AJ139">
        <v>55</v>
      </c>
      <c r="AK139">
        <v>0</v>
      </c>
      <c r="AL139"/>
      <c r="AM139"/>
      <c r="AN139">
        <v>0</v>
      </c>
      <c r="AO139"/>
      <c r="AP139"/>
      <c r="AQ139">
        <v>0</v>
      </c>
      <c r="AR139"/>
      <c r="AS139"/>
      <c r="BL139">
        <v>0.40444613400000001</v>
      </c>
      <c r="BM139">
        <v>1</v>
      </c>
      <c r="BN139">
        <v>97</v>
      </c>
      <c r="BO139">
        <v>36.641047690000001</v>
      </c>
      <c r="BP139">
        <v>1</v>
      </c>
      <c r="BQ139">
        <v>97</v>
      </c>
      <c r="BR139">
        <v>0.94429774499999997</v>
      </c>
      <c r="BS139">
        <v>1.9422506999999999E-2</v>
      </c>
      <c r="BT139">
        <v>1</v>
      </c>
      <c r="BU139">
        <v>97</v>
      </c>
      <c r="BV139">
        <v>0.13645048900000001</v>
      </c>
      <c r="BW139">
        <v>0.13645048900000001</v>
      </c>
      <c r="BX139">
        <v>13</v>
      </c>
      <c r="BY139">
        <v>0</v>
      </c>
      <c r="BZ139">
        <v>1</v>
      </c>
      <c r="CA139">
        <v>97</v>
      </c>
      <c r="CB139">
        <v>0</v>
      </c>
      <c r="CC139">
        <v>1</v>
      </c>
      <c r="CD139">
        <v>97</v>
      </c>
      <c r="CE139">
        <v>0</v>
      </c>
      <c r="CF139">
        <v>1</v>
      </c>
      <c r="CG139">
        <v>97</v>
      </c>
      <c r="CH139"/>
      <c r="CI139"/>
      <c r="CJ139"/>
      <c r="CK139">
        <v>0</v>
      </c>
      <c r="CL139"/>
      <c r="CM139"/>
      <c r="CN139">
        <v>0.18148473900000001</v>
      </c>
      <c r="CO139">
        <v>1</v>
      </c>
      <c r="CP139">
        <v>97</v>
      </c>
      <c r="CQ139" s="30">
        <v>0</v>
      </c>
      <c r="CR139" s="30"/>
      <c r="CS139" s="30"/>
      <c r="CT139" s="30">
        <v>0</v>
      </c>
      <c r="CU139" s="30"/>
      <c r="CV139" s="30"/>
      <c r="CW139">
        <v>0.60295934470000001</v>
      </c>
      <c r="CX139">
        <v>1</v>
      </c>
      <c r="CY139">
        <v>97</v>
      </c>
      <c r="DC139">
        <v>0</v>
      </c>
      <c r="DD139"/>
      <c r="DE139"/>
      <c r="DF139" s="171" t="s">
        <v>218</v>
      </c>
      <c r="DG139" s="171" t="s">
        <v>395</v>
      </c>
    </row>
    <row r="140" spans="2:115" x14ac:dyDescent="0.35">
      <c r="B140" s="252" t="str">
        <f t="shared" si="2"/>
        <v>iBoxx MSCI ESG EUR FRN Investment Grade Corporates TCA45626</v>
      </c>
      <c r="C140">
        <v>7807</v>
      </c>
      <c r="D140" t="s">
        <v>514</v>
      </c>
      <c r="E140" s="253" t="s">
        <v>215</v>
      </c>
      <c r="F140" s="26">
        <v>45626</v>
      </c>
      <c r="G140">
        <v>94</v>
      </c>
      <c r="H140">
        <v>0</v>
      </c>
      <c r="I140">
        <v>94</v>
      </c>
      <c r="J140">
        <v>0</v>
      </c>
      <c r="K140">
        <v>1</v>
      </c>
      <c r="L140" t="s">
        <v>444</v>
      </c>
      <c r="M140">
        <v>7.7988524559999997</v>
      </c>
      <c r="N140">
        <v>1</v>
      </c>
      <c r="O140">
        <v>94</v>
      </c>
      <c r="P140">
        <v>7.9726024940000002</v>
      </c>
      <c r="Q140">
        <v>1</v>
      </c>
      <c r="R140">
        <v>94</v>
      </c>
      <c r="S140">
        <v>4.7153732279999998</v>
      </c>
      <c r="T140">
        <v>1</v>
      </c>
      <c r="U140">
        <v>94</v>
      </c>
      <c r="V140">
        <v>6.1148435210000001</v>
      </c>
      <c r="W140">
        <v>1</v>
      </c>
      <c r="X140">
        <v>94</v>
      </c>
      <c r="Y140">
        <v>0</v>
      </c>
      <c r="Z140"/>
      <c r="AA140"/>
      <c r="AB140">
        <v>0</v>
      </c>
      <c r="AC140"/>
      <c r="AD140"/>
      <c r="AE140">
        <v>13.8035312</v>
      </c>
      <c r="AF140">
        <v>0.70147826999999996</v>
      </c>
      <c r="AG140">
        <v>70</v>
      </c>
      <c r="AH140">
        <v>2.8172964189999998</v>
      </c>
      <c r="AI140">
        <v>0.15265378800000001</v>
      </c>
      <c r="AJ140">
        <v>15</v>
      </c>
      <c r="AK140">
        <v>0</v>
      </c>
      <c r="AL140"/>
      <c r="AM140"/>
      <c r="AN140">
        <v>0</v>
      </c>
      <c r="AO140"/>
      <c r="AP140"/>
      <c r="AQ140">
        <v>0</v>
      </c>
      <c r="AR140"/>
      <c r="AS140"/>
      <c r="BL140">
        <v>9.3244170000000001E-2</v>
      </c>
      <c r="BM140">
        <v>1</v>
      </c>
      <c r="BN140">
        <v>94</v>
      </c>
      <c r="BO140">
        <v>1.844552218</v>
      </c>
      <c r="BP140">
        <v>1</v>
      </c>
      <c r="BQ140">
        <v>94</v>
      </c>
      <c r="BR140">
        <v>0.93939480399999997</v>
      </c>
      <c r="BS140">
        <v>0</v>
      </c>
      <c r="BT140">
        <v>1</v>
      </c>
      <c r="BU140">
        <v>94</v>
      </c>
      <c r="BV140">
        <v>8.7069402000000004E-2</v>
      </c>
      <c r="BW140">
        <v>8.7069402000000004E-2</v>
      </c>
      <c r="BX140">
        <v>8</v>
      </c>
      <c r="BY140">
        <v>0</v>
      </c>
      <c r="BZ140">
        <v>1</v>
      </c>
      <c r="CA140">
        <v>94</v>
      </c>
      <c r="CB140">
        <v>0</v>
      </c>
      <c r="CC140">
        <v>1</v>
      </c>
      <c r="CD140">
        <v>94</v>
      </c>
      <c r="CE140">
        <v>0</v>
      </c>
      <c r="CF140">
        <v>1</v>
      </c>
      <c r="CG140">
        <v>94</v>
      </c>
      <c r="CH140"/>
      <c r="CI140"/>
      <c r="CJ140"/>
      <c r="CK140">
        <v>0</v>
      </c>
      <c r="CL140"/>
      <c r="CM140"/>
      <c r="CN140">
        <v>0.202331715</v>
      </c>
      <c r="CO140">
        <v>1</v>
      </c>
      <c r="CP140">
        <v>94</v>
      </c>
      <c r="CQ140">
        <v>10</v>
      </c>
      <c r="CR140">
        <v>5.7555398000000001E-2</v>
      </c>
      <c r="CS140">
        <v>4</v>
      </c>
      <c r="CT140">
        <v>6840266850</v>
      </c>
      <c r="CU140">
        <v>5.7555398000000001E-2</v>
      </c>
      <c r="CV140">
        <v>4</v>
      </c>
      <c r="CW140">
        <v>0.73585560589999999</v>
      </c>
      <c r="CX140">
        <v>0.98359032800000001</v>
      </c>
      <c r="CY140">
        <v>92</v>
      </c>
      <c r="DC140">
        <v>0</v>
      </c>
      <c r="DD140"/>
      <c r="DE140"/>
      <c r="DF140" s="171" t="s">
        <v>216</v>
      </c>
      <c r="DG140" s="171" t="s">
        <v>395</v>
      </c>
    </row>
    <row r="141" spans="2:115" x14ac:dyDescent="0.35">
      <c r="B141" s="252" t="str">
        <f t="shared" si="2"/>
        <v>iBoxx MSCI ESG EUR Corporates Green Bond Select45626</v>
      </c>
      <c r="C141">
        <v>12779</v>
      </c>
      <c r="D141" t="s">
        <v>515</v>
      </c>
      <c r="E141" s="253" t="s">
        <v>212</v>
      </c>
      <c r="F141" s="26">
        <v>45626</v>
      </c>
      <c r="G141">
        <v>90</v>
      </c>
      <c r="H141">
        <v>0</v>
      </c>
      <c r="I141">
        <v>90</v>
      </c>
      <c r="J141">
        <v>0</v>
      </c>
      <c r="K141">
        <v>1</v>
      </c>
      <c r="L141" t="s">
        <v>444</v>
      </c>
      <c r="M141">
        <v>7.5374395019999998</v>
      </c>
      <c r="N141">
        <v>0.99450710799999997</v>
      </c>
      <c r="O141">
        <v>90</v>
      </c>
      <c r="P141">
        <v>7.732752981</v>
      </c>
      <c r="Q141">
        <v>0.99450710799999997</v>
      </c>
      <c r="R141">
        <v>90</v>
      </c>
      <c r="S141">
        <v>4.9976806790000001</v>
      </c>
      <c r="T141">
        <v>0.99450710799999997</v>
      </c>
      <c r="U141">
        <v>90</v>
      </c>
      <c r="V141">
        <v>6.2808133929999999</v>
      </c>
      <c r="W141">
        <v>0.99450710799999997</v>
      </c>
      <c r="X141">
        <v>90</v>
      </c>
      <c r="Y141">
        <v>0</v>
      </c>
      <c r="Z141"/>
      <c r="AA141"/>
      <c r="AB141">
        <v>0</v>
      </c>
      <c r="AC141"/>
      <c r="AD141"/>
      <c r="AE141">
        <v>13.448604100000001</v>
      </c>
      <c r="AF141">
        <v>0.754869919</v>
      </c>
      <c r="AG141">
        <v>69</v>
      </c>
      <c r="AH141">
        <v>3.5254549599999998</v>
      </c>
      <c r="AI141">
        <v>0.42715793800000001</v>
      </c>
      <c r="AJ141">
        <v>39</v>
      </c>
      <c r="AK141">
        <v>0</v>
      </c>
      <c r="AL141"/>
      <c r="AM141"/>
      <c r="AN141">
        <v>0</v>
      </c>
      <c r="AO141"/>
      <c r="AP141"/>
      <c r="AQ141">
        <v>0</v>
      </c>
      <c r="AR141"/>
      <c r="AS141"/>
      <c r="BL141">
        <v>0.29702778099999999</v>
      </c>
      <c r="BM141">
        <v>0.99450710799999997</v>
      </c>
      <c r="BN141">
        <v>90</v>
      </c>
      <c r="BO141">
        <v>30.615639439999999</v>
      </c>
      <c r="BP141">
        <v>0.99450710799999997</v>
      </c>
      <c r="BQ141">
        <v>90</v>
      </c>
      <c r="BR141">
        <v>0.86180168199999996</v>
      </c>
      <c r="BS141">
        <v>7.0386049999999999E-3</v>
      </c>
      <c r="BT141">
        <v>0.99450710799999997</v>
      </c>
      <c r="BU141">
        <v>90</v>
      </c>
      <c r="BV141">
        <v>0.99450710799999997</v>
      </c>
      <c r="BW141">
        <v>0.99450710799999997</v>
      </c>
      <c r="BX141">
        <v>90</v>
      </c>
      <c r="BY141">
        <v>0</v>
      </c>
      <c r="BZ141">
        <v>0.99450710799999997</v>
      </c>
      <c r="CA141">
        <v>90</v>
      </c>
      <c r="CB141">
        <v>0</v>
      </c>
      <c r="CC141">
        <v>0.99450710799999997</v>
      </c>
      <c r="CD141">
        <v>90</v>
      </c>
      <c r="CE141">
        <v>0</v>
      </c>
      <c r="CF141">
        <v>0.99450710799999997</v>
      </c>
      <c r="CG141">
        <v>90</v>
      </c>
      <c r="CH141"/>
      <c r="CI141"/>
      <c r="CJ141"/>
      <c r="CK141">
        <v>0</v>
      </c>
      <c r="CL141"/>
      <c r="CM141"/>
      <c r="CN141">
        <v>0.14773376999999999</v>
      </c>
      <c r="CO141">
        <v>0.99450710799999997</v>
      </c>
      <c r="CP141">
        <v>90</v>
      </c>
      <c r="CQ141">
        <v>2</v>
      </c>
      <c r="CR141">
        <v>2.6739081000000001E-2</v>
      </c>
      <c r="CS141">
        <v>2</v>
      </c>
      <c r="CT141">
        <v>46178850</v>
      </c>
      <c r="CU141">
        <v>2.6739081000000001E-2</v>
      </c>
      <c r="CV141">
        <v>2</v>
      </c>
      <c r="CW141">
        <v>0.80879219359999999</v>
      </c>
      <c r="CX141">
        <v>0.98399062500000001</v>
      </c>
      <c r="CY141">
        <v>89</v>
      </c>
      <c r="DC141">
        <v>0</v>
      </c>
      <c r="DD141"/>
      <c r="DE141"/>
      <c r="DF141" s="171" t="s">
        <v>212</v>
      </c>
      <c r="DG141" s="171" t="s">
        <v>395</v>
      </c>
    </row>
    <row r="142" spans="2:115" x14ac:dyDescent="0.35">
      <c r="B142" s="252" t="str">
        <f t="shared" si="2"/>
        <v>iBoxx MSCI ESG USD Asia ex-Japan High Yield Capped TCA45626</v>
      </c>
      <c r="C142">
        <v>23100</v>
      </c>
      <c r="D142" t="s">
        <v>516</v>
      </c>
      <c r="E142" s="253" t="s">
        <v>227</v>
      </c>
      <c r="F142" s="26">
        <v>45626</v>
      </c>
      <c r="G142">
        <v>90</v>
      </c>
      <c r="H142">
        <v>0</v>
      </c>
      <c r="I142">
        <v>90</v>
      </c>
      <c r="J142">
        <v>0</v>
      </c>
      <c r="K142">
        <v>1</v>
      </c>
      <c r="L142" t="s">
        <v>444</v>
      </c>
      <c r="M142">
        <v>4.8010612750000004</v>
      </c>
      <c r="N142">
        <v>1</v>
      </c>
      <c r="O142">
        <v>90</v>
      </c>
      <c r="P142">
        <v>5.6960418549999998</v>
      </c>
      <c r="Q142">
        <v>1</v>
      </c>
      <c r="R142">
        <v>90</v>
      </c>
      <c r="S142">
        <v>5.2020487070000003</v>
      </c>
      <c r="T142">
        <v>1</v>
      </c>
      <c r="U142">
        <v>90</v>
      </c>
      <c r="V142">
        <v>4.2016512170000002</v>
      </c>
      <c r="W142">
        <v>1</v>
      </c>
      <c r="X142">
        <v>90</v>
      </c>
      <c r="Y142">
        <v>0</v>
      </c>
      <c r="Z142"/>
      <c r="AA142"/>
      <c r="AB142">
        <v>0</v>
      </c>
      <c r="AC142"/>
      <c r="AD142"/>
      <c r="AE142">
        <v>16.092470639999998</v>
      </c>
      <c r="AF142">
        <v>0.50009344</v>
      </c>
      <c r="AG142">
        <v>45</v>
      </c>
      <c r="AH142">
        <v>1.53486813</v>
      </c>
      <c r="AI142">
        <v>0.36091887900000003</v>
      </c>
      <c r="AJ142">
        <v>31</v>
      </c>
      <c r="AK142">
        <v>0</v>
      </c>
      <c r="AL142"/>
      <c r="AM142"/>
      <c r="AN142">
        <v>0</v>
      </c>
      <c r="AO142"/>
      <c r="AP142"/>
      <c r="AQ142">
        <v>0</v>
      </c>
      <c r="AR142"/>
      <c r="AS142"/>
      <c r="BL142">
        <v>0.59090941600000002</v>
      </c>
      <c r="BM142">
        <v>1</v>
      </c>
      <c r="BN142">
        <v>90</v>
      </c>
      <c r="BO142">
        <v>370.39837299999999</v>
      </c>
      <c r="BP142">
        <v>1</v>
      </c>
      <c r="BQ142">
        <v>90</v>
      </c>
      <c r="BR142">
        <v>0.93040102400000002</v>
      </c>
      <c r="BS142">
        <v>9.6189466000000001E-2</v>
      </c>
      <c r="BT142">
        <v>1</v>
      </c>
      <c r="BU142">
        <v>90</v>
      </c>
      <c r="BV142">
        <v>9.1642255000000006E-2</v>
      </c>
      <c r="BW142">
        <v>9.1642255000000006E-2</v>
      </c>
      <c r="BX142">
        <v>9</v>
      </c>
      <c r="BY142">
        <v>0</v>
      </c>
      <c r="BZ142">
        <v>1</v>
      </c>
      <c r="CA142">
        <v>90</v>
      </c>
      <c r="CB142">
        <v>0</v>
      </c>
      <c r="CC142">
        <v>1</v>
      </c>
      <c r="CD142">
        <v>90</v>
      </c>
      <c r="CE142">
        <v>0</v>
      </c>
      <c r="CF142">
        <v>1</v>
      </c>
      <c r="CG142">
        <v>90</v>
      </c>
      <c r="CH142"/>
      <c r="CI142"/>
      <c r="CJ142"/>
      <c r="CK142">
        <v>0</v>
      </c>
      <c r="CL142"/>
      <c r="CM142"/>
      <c r="CN142">
        <v>0.55909326000000004</v>
      </c>
      <c r="CO142">
        <v>1</v>
      </c>
      <c r="CP142">
        <v>90</v>
      </c>
      <c r="CQ142">
        <v>3</v>
      </c>
      <c r="CR142">
        <v>0.06</v>
      </c>
      <c r="CS142">
        <v>6</v>
      </c>
      <c r="CT142" s="30">
        <v>0</v>
      </c>
      <c r="CU142" s="30"/>
      <c r="CV142" s="30"/>
      <c r="CW142">
        <v>0.30925352340000001</v>
      </c>
      <c r="CX142">
        <v>1</v>
      </c>
      <c r="CY142">
        <v>90</v>
      </c>
      <c r="DC142">
        <v>0</v>
      </c>
      <c r="DD142"/>
      <c r="DE142"/>
      <c r="DF142" s="171" t="s">
        <v>228</v>
      </c>
      <c r="DG142" s="171" t="s">
        <v>395</v>
      </c>
    </row>
    <row r="143" spans="2:115" x14ac:dyDescent="0.35">
      <c r="B143" s="252" t="str">
        <f t="shared" si="2"/>
        <v>iBoxx MSCI ESG USD FRN Investment Grade Corporates TCA45626</v>
      </c>
      <c r="C143">
        <v>25357</v>
      </c>
      <c r="D143" t="s">
        <v>517</v>
      </c>
      <c r="E143" s="253" t="s">
        <v>231</v>
      </c>
      <c r="F143" s="26">
        <v>45626</v>
      </c>
      <c r="G143">
        <v>303</v>
      </c>
      <c r="H143">
        <v>0</v>
      </c>
      <c r="I143">
        <v>303</v>
      </c>
      <c r="J143">
        <v>0</v>
      </c>
      <c r="K143">
        <v>1</v>
      </c>
      <c r="L143" t="s">
        <v>444</v>
      </c>
      <c r="M143">
        <v>7.3682479550000002</v>
      </c>
      <c r="N143">
        <v>1</v>
      </c>
      <c r="O143">
        <v>303</v>
      </c>
      <c r="P143">
        <v>7.7218698239999997</v>
      </c>
      <c r="Q143">
        <v>1</v>
      </c>
      <c r="R143">
        <v>303</v>
      </c>
      <c r="S143">
        <v>4.4669018520000003</v>
      </c>
      <c r="T143">
        <v>1</v>
      </c>
      <c r="U143">
        <v>303</v>
      </c>
      <c r="V143">
        <v>5.9491718950000001</v>
      </c>
      <c r="W143">
        <v>1</v>
      </c>
      <c r="X143">
        <v>303</v>
      </c>
      <c r="Y143">
        <v>0</v>
      </c>
      <c r="Z143"/>
      <c r="AA143"/>
      <c r="AB143">
        <v>0</v>
      </c>
      <c r="AC143"/>
      <c r="AD143"/>
      <c r="AE143">
        <v>16.295281060000001</v>
      </c>
      <c r="AF143">
        <v>0.78035842600000005</v>
      </c>
      <c r="AG143">
        <v>238</v>
      </c>
      <c r="AH143">
        <v>4.9071378499999998</v>
      </c>
      <c r="AI143">
        <v>0.106602719</v>
      </c>
      <c r="AJ143">
        <v>30</v>
      </c>
      <c r="AK143">
        <v>0</v>
      </c>
      <c r="AL143"/>
      <c r="AM143"/>
      <c r="AN143">
        <v>0</v>
      </c>
      <c r="AO143"/>
      <c r="AP143"/>
      <c r="AQ143">
        <v>0</v>
      </c>
      <c r="AR143"/>
      <c r="AS143"/>
      <c r="BL143">
        <v>7.6602561E-2</v>
      </c>
      <c r="BM143">
        <v>1</v>
      </c>
      <c r="BN143">
        <v>303</v>
      </c>
      <c r="BO143">
        <v>2.7728453929999999</v>
      </c>
      <c r="BP143">
        <v>1</v>
      </c>
      <c r="BQ143">
        <v>303</v>
      </c>
      <c r="BR143">
        <v>0.90922327999999997</v>
      </c>
      <c r="BS143">
        <v>3.2366130000000002E-3</v>
      </c>
      <c r="BT143">
        <v>1</v>
      </c>
      <c r="BU143">
        <v>303</v>
      </c>
      <c r="BV143">
        <v>0</v>
      </c>
      <c r="BW143" s="234" t="s">
        <v>460</v>
      </c>
      <c r="BX143" s="234" t="s">
        <v>460</v>
      </c>
      <c r="BY143">
        <v>0</v>
      </c>
      <c r="BZ143">
        <v>1</v>
      </c>
      <c r="CA143">
        <v>303</v>
      </c>
      <c r="CB143">
        <v>0</v>
      </c>
      <c r="CC143">
        <v>1</v>
      </c>
      <c r="CD143">
        <v>303</v>
      </c>
      <c r="CE143">
        <v>0</v>
      </c>
      <c r="CF143">
        <v>1</v>
      </c>
      <c r="CG143">
        <v>303</v>
      </c>
      <c r="CH143"/>
      <c r="CI143"/>
      <c r="CJ143"/>
      <c r="CK143">
        <v>0</v>
      </c>
      <c r="CL143"/>
      <c r="CM143"/>
      <c r="CN143">
        <v>0.33524256400000002</v>
      </c>
      <c r="CO143">
        <v>1</v>
      </c>
      <c r="CP143">
        <v>303</v>
      </c>
      <c r="CQ143">
        <v>21</v>
      </c>
      <c r="CR143">
        <v>6.5535881000000004E-2</v>
      </c>
      <c r="CS143">
        <v>21</v>
      </c>
      <c r="CT143">
        <v>13685626350</v>
      </c>
      <c r="CU143">
        <v>6.5535881000000004E-2</v>
      </c>
      <c r="CV143">
        <v>21</v>
      </c>
      <c r="CW143">
        <v>0.70373287410000007</v>
      </c>
      <c r="CX143">
        <v>0.98532822799999997</v>
      </c>
      <c r="CY143">
        <v>299</v>
      </c>
      <c r="DC143">
        <v>0</v>
      </c>
      <c r="DD143"/>
      <c r="DE143"/>
      <c r="DF143" s="171" t="s">
        <v>232</v>
      </c>
      <c r="DG143" s="171" t="s">
        <v>395</v>
      </c>
    </row>
    <row r="145" spans="5:5" x14ac:dyDescent="0.35">
      <c r="E145"/>
    </row>
    <row r="146" spans="5:5" x14ac:dyDescent="0.35">
      <c r="E146"/>
    </row>
    <row r="147" spans="5:5" x14ac:dyDescent="0.35">
      <c r="E147"/>
    </row>
    <row r="148" spans="5:5" x14ac:dyDescent="0.35">
      <c r="E148"/>
    </row>
    <row r="149" spans="5:5" x14ac:dyDescent="0.35">
      <c r="E149"/>
    </row>
    <row r="150" spans="5:5" x14ac:dyDescent="0.35">
      <c r="E150"/>
    </row>
    <row r="151" spans="5:5" x14ac:dyDescent="0.35">
      <c r="E151"/>
    </row>
    <row r="152" spans="5:5" x14ac:dyDescent="0.35">
      <c r="E152"/>
    </row>
    <row r="153" spans="5:5" x14ac:dyDescent="0.35">
      <c r="E153"/>
    </row>
    <row r="154" spans="5:5" x14ac:dyDescent="0.35">
      <c r="E154"/>
    </row>
    <row r="155" spans="5:5" x14ac:dyDescent="0.35">
      <c r="E155"/>
    </row>
    <row r="156" spans="5:5" x14ac:dyDescent="0.35">
      <c r="E156"/>
    </row>
    <row r="157" spans="5:5" x14ac:dyDescent="0.35">
      <c r="E157"/>
    </row>
    <row r="158" spans="5:5" x14ac:dyDescent="0.35">
      <c r="E158"/>
    </row>
    <row r="159" spans="5:5" x14ac:dyDescent="0.35">
      <c r="E159"/>
    </row>
    <row r="160" spans="5:5" x14ac:dyDescent="0.35">
      <c r="E160"/>
    </row>
    <row r="161" spans="5:5" x14ac:dyDescent="0.35">
      <c r="E161"/>
    </row>
    <row r="162" spans="5:5" x14ac:dyDescent="0.35">
      <c r="E162"/>
    </row>
    <row r="163" spans="5:5" x14ac:dyDescent="0.35">
      <c r="E163"/>
    </row>
    <row r="164" spans="5:5" x14ac:dyDescent="0.35">
      <c r="E164"/>
    </row>
    <row r="165" spans="5:5" x14ac:dyDescent="0.35">
      <c r="E165"/>
    </row>
    <row r="166" spans="5:5" x14ac:dyDescent="0.35">
      <c r="E166"/>
    </row>
    <row r="167" spans="5:5" x14ac:dyDescent="0.35">
      <c r="E167"/>
    </row>
    <row r="168" spans="5:5" x14ac:dyDescent="0.35">
      <c r="E168"/>
    </row>
    <row r="169" spans="5:5" x14ac:dyDescent="0.35">
      <c r="E169"/>
    </row>
    <row r="170" spans="5:5" x14ac:dyDescent="0.35">
      <c r="E170"/>
    </row>
    <row r="171" spans="5:5" x14ac:dyDescent="0.35">
      <c r="E171"/>
    </row>
    <row r="172" spans="5:5" x14ac:dyDescent="0.35">
      <c r="E172"/>
    </row>
    <row r="173" spans="5:5" x14ac:dyDescent="0.35">
      <c r="E173"/>
    </row>
    <row r="174" spans="5:5" x14ac:dyDescent="0.35">
      <c r="E174"/>
    </row>
    <row r="175" spans="5:5" x14ac:dyDescent="0.35">
      <c r="E175"/>
    </row>
    <row r="176" spans="5:5" x14ac:dyDescent="0.35">
      <c r="E176"/>
    </row>
    <row r="177" spans="5:5" x14ac:dyDescent="0.35">
      <c r="E177"/>
    </row>
    <row r="178" spans="5:5" x14ac:dyDescent="0.35">
      <c r="E178"/>
    </row>
    <row r="179" spans="5:5" x14ac:dyDescent="0.35">
      <c r="E179"/>
    </row>
    <row r="180" spans="5:5" x14ac:dyDescent="0.35">
      <c r="E180"/>
    </row>
    <row r="181" spans="5:5" x14ac:dyDescent="0.35">
      <c r="E181"/>
    </row>
    <row r="182" spans="5:5" x14ac:dyDescent="0.35">
      <c r="E182"/>
    </row>
    <row r="183" spans="5:5" x14ac:dyDescent="0.35">
      <c r="E183"/>
    </row>
    <row r="184" spans="5:5" x14ac:dyDescent="0.35">
      <c r="E184"/>
    </row>
    <row r="185" spans="5:5" x14ac:dyDescent="0.35">
      <c r="E185"/>
    </row>
    <row r="186" spans="5:5" x14ac:dyDescent="0.35">
      <c r="E186"/>
    </row>
    <row r="187" spans="5:5" x14ac:dyDescent="0.35">
      <c r="E187"/>
    </row>
    <row r="188" spans="5:5" x14ac:dyDescent="0.35">
      <c r="E188"/>
    </row>
    <row r="189" spans="5:5" x14ac:dyDescent="0.35">
      <c r="E189"/>
    </row>
    <row r="190" spans="5:5" x14ac:dyDescent="0.35">
      <c r="E190"/>
    </row>
    <row r="191" spans="5:5" x14ac:dyDescent="0.35">
      <c r="E191" s="253"/>
    </row>
    <row r="192" spans="5:5" x14ac:dyDescent="0.35">
      <c r="E192" s="253"/>
    </row>
    <row r="193" spans="5:5" x14ac:dyDescent="0.35">
      <c r="E193" s="253"/>
    </row>
    <row r="194" spans="5:5" x14ac:dyDescent="0.35">
      <c r="E194" s="253"/>
    </row>
    <row r="195" spans="5:5" x14ac:dyDescent="0.35">
      <c r="E195" s="256"/>
    </row>
    <row r="196" spans="5:5" x14ac:dyDescent="0.35">
      <c r="E196" s="253"/>
    </row>
    <row r="197" spans="5:5" x14ac:dyDescent="0.35">
      <c r="E197" s="253"/>
    </row>
    <row r="198" spans="5:5" x14ac:dyDescent="0.35">
      <c r="E198" s="253"/>
    </row>
    <row r="199" spans="5:5" x14ac:dyDescent="0.35">
      <c r="E199" s="253"/>
    </row>
    <row r="200" spans="5:5" x14ac:dyDescent="0.35">
      <c r="E200" s="253"/>
    </row>
    <row r="201" spans="5:5" x14ac:dyDescent="0.35">
      <c r="E201" s="253"/>
    </row>
    <row r="202" spans="5:5" x14ac:dyDescent="0.35">
      <c r="E202" s="253"/>
    </row>
    <row r="203" spans="5:5" x14ac:dyDescent="0.35">
      <c r="E203" s="253"/>
    </row>
    <row r="204" spans="5:5" x14ac:dyDescent="0.35">
      <c r="E204" s="253"/>
    </row>
    <row r="205" spans="5:5" x14ac:dyDescent="0.35">
      <c r="E205" s="253"/>
    </row>
    <row r="206" spans="5:5" x14ac:dyDescent="0.35">
      <c r="E206" s="253"/>
    </row>
    <row r="207" spans="5:5" x14ac:dyDescent="0.35">
      <c r="E207" s="256"/>
    </row>
    <row r="208" spans="5:5" x14ac:dyDescent="0.35">
      <c r="E208" s="253"/>
    </row>
    <row r="209" spans="5:5" x14ac:dyDescent="0.35">
      <c r="E209" s="253"/>
    </row>
    <row r="210" spans="5:5" x14ac:dyDescent="0.35">
      <c r="E210" s="253"/>
    </row>
    <row r="211" spans="5:5" x14ac:dyDescent="0.35">
      <c r="E211" s="253"/>
    </row>
    <row r="212" spans="5:5" x14ac:dyDescent="0.35">
      <c r="E212" s="253"/>
    </row>
    <row r="213" spans="5:5" x14ac:dyDescent="0.35">
      <c r="E213" s="253"/>
    </row>
    <row r="214" spans="5:5" x14ac:dyDescent="0.35">
      <c r="E214" s="253"/>
    </row>
    <row r="215" spans="5:5" x14ac:dyDescent="0.35">
      <c r="E215"/>
    </row>
    <row r="216" spans="5:5" x14ac:dyDescent="0.35">
      <c r="E216"/>
    </row>
    <row r="217" spans="5:5" x14ac:dyDescent="0.35">
      <c r="E217"/>
    </row>
    <row r="218" spans="5:5" x14ac:dyDescent="0.35">
      <c r="E218"/>
    </row>
    <row r="219" spans="5:5" x14ac:dyDescent="0.35">
      <c r="E219"/>
    </row>
    <row r="220" spans="5:5" x14ac:dyDescent="0.35">
      <c r="E220"/>
    </row>
    <row r="221" spans="5:5" x14ac:dyDescent="0.35">
      <c r="E221"/>
    </row>
    <row r="222" spans="5:5" x14ac:dyDescent="0.35">
      <c r="E222"/>
    </row>
    <row r="223" spans="5:5" x14ac:dyDescent="0.35">
      <c r="E223"/>
    </row>
    <row r="224" spans="5:5" x14ac:dyDescent="0.35">
      <c r="E224"/>
    </row>
    <row r="225" spans="5:5" x14ac:dyDescent="0.35">
      <c r="E225"/>
    </row>
    <row r="226" spans="5:5" x14ac:dyDescent="0.35">
      <c r="E226"/>
    </row>
    <row r="227" spans="5:5" x14ac:dyDescent="0.35">
      <c r="E227"/>
    </row>
    <row r="228" spans="5:5" x14ac:dyDescent="0.35">
      <c r="E228"/>
    </row>
    <row r="229" spans="5:5" x14ac:dyDescent="0.35">
      <c r="E229"/>
    </row>
    <row r="230" spans="5:5" x14ac:dyDescent="0.35">
      <c r="E230"/>
    </row>
    <row r="231" spans="5:5" x14ac:dyDescent="0.35">
      <c r="E231"/>
    </row>
    <row r="232" spans="5:5" x14ac:dyDescent="0.35">
      <c r="E232"/>
    </row>
    <row r="233" spans="5:5" x14ac:dyDescent="0.35">
      <c r="E233"/>
    </row>
    <row r="234" spans="5:5" x14ac:dyDescent="0.35">
      <c r="E234"/>
    </row>
    <row r="235" spans="5:5" x14ac:dyDescent="0.35">
      <c r="E235"/>
    </row>
    <row r="236" spans="5:5" x14ac:dyDescent="0.35">
      <c r="E236"/>
    </row>
    <row r="237" spans="5:5" x14ac:dyDescent="0.35">
      <c r="E237"/>
    </row>
    <row r="238" spans="5:5" x14ac:dyDescent="0.35">
      <c r="E238"/>
    </row>
    <row r="239" spans="5:5" x14ac:dyDescent="0.35">
      <c r="E239"/>
    </row>
    <row r="240" spans="5:5" x14ac:dyDescent="0.35">
      <c r="E240"/>
    </row>
    <row r="241" spans="5:5" x14ac:dyDescent="0.35">
      <c r="E241"/>
    </row>
    <row r="242" spans="5:5" x14ac:dyDescent="0.35">
      <c r="E242"/>
    </row>
    <row r="243" spans="5:5" x14ac:dyDescent="0.35">
      <c r="E243"/>
    </row>
    <row r="244" spans="5:5" x14ac:dyDescent="0.35">
      <c r="E244"/>
    </row>
    <row r="245" spans="5:5" x14ac:dyDescent="0.35">
      <c r="E245"/>
    </row>
    <row r="246" spans="5:5" x14ac:dyDescent="0.35">
      <c r="E246"/>
    </row>
    <row r="247" spans="5:5" x14ac:dyDescent="0.35">
      <c r="E247"/>
    </row>
    <row r="248" spans="5:5" x14ac:dyDescent="0.35">
      <c r="E248"/>
    </row>
    <row r="249" spans="5:5" x14ac:dyDescent="0.35">
      <c r="E249"/>
    </row>
    <row r="250" spans="5:5" x14ac:dyDescent="0.35">
      <c r="E250"/>
    </row>
    <row r="251" spans="5:5" x14ac:dyDescent="0.35">
      <c r="E251"/>
    </row>
    <row r="252" spans="5:5" x14ac:dyDescent="0.35">
      <c r="E252"/>
    </row>
    <row r="253" spans="5:5" x14ac:dyDescent="0.35">
      <c r="E253"/>
    </row>
    <row r="254" spans="5:5" x14ac:dyDescent="0.35">
      <c r="E254"/>
    </row>
    <row r="255" spans="5:5" x14ac:dyDescent="0.35">
      <c r="E255"/>
    </row>
    <row r="256" spans="5:5" x14ac:dyDescent="0.35">
      <c r="E256"/>
    </row>
    <row r="257" spans="5:5" x14ac:dyDescent="0.35">
      <c r="E257"/>
    </row>
    <row r="258" spans="5:5" x14ac:dyDescent="0.35">
      <c r="E258"/>
    </row>
    <row r="259" spans="5:5" x14ac:dyDescent="0.35">
      <c r="E259"/>
    </row>
    <row r="260" spans="5:5" x14ac:dyDescent="0.35">
      <c r="E260"/>
    </row>
    <row r="261" spans="5:5" x14ac:dyDescent="0.35">
      <c r="E261"/>
    </row>
    <row r="262" spans="5:5" x14ac:dyDescent="0.35">
      <c r="E262"/>
    </row>
    <row r="263" spans="5:5" x14ac:dyDescent="0.35">
      <c r="E263"/>
    </row>
    <row r="264" spans="5:5" x14ac:dyDescent="0.35">
      <c r="E264"/>
    </row>
    <row r="265" spans="5:5" x14ac:dyDescent="0.35">
      <c r="E265"/>
    </row>
    <row r="266" spans="5:5" x14ac:dyDescent="0.35">
      <c r="E266"/>
    </row>
    <row r="267" spans="5:5" x14ac:dyDescent="0.35">
      <c r="E267"/>
    </row>
    <row r="268" spans="5:5" x14ac:dyDescent="0.35">
      <c r="E268"/>
    </row>
    <row r="269" spans="5:5" x14ac:dyDescent="0.35">
      <c r="E269"/>
    </row>
    <row r="270" spans="5:5" x14ac:dyDescent="0.35">
      <c r="E270"/>
    </row>
    <row r="271" spans="5:5" x14ac:dyDescent="0.35">
      <c r="E271"/>
    </row>
    <row r="272" spans="5:5" x14ac:dyDescent="0.35">
      <c r="E272"/>
    </row>
    <row r="273" spans="5:5" x14ac:dyDescent="0.35">
      <c r="E273"/>
    </row>
    <row r="274" spans="5:5" x14ac:dyDescent="0.35">
      <c r="E274"/>
    </row>
    <row r="275" spans="5:5" x14ac:dyDescent="0.35">
      <c r="E275"/>
    </row>
    <row r="276" spans="5:5" x14ac:dyDescent="0.35">
      <c r="E276"/>
    </row>
    <row r="277" spans="5:5" x14ac:dyDescent="0.35">
      <c r="E277"/>
    </row>
    <row r="278" spans="5:5" x14ac:dyDescent="0.35">
      <c r="E278"/>
    </row>
    <row r="279" spans="5:5" x14ac:dyDescent="0.35">
      <c r="E279"/>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F902-235C-42AA-AEEB-DB49B6E1DFE6}">
  <sheetPr>
    <tabColor rgb="FFFFFF00"/>
  </sheetPr>
  <dimension ref="A3:AE843"/>
  <sheetViews>
    <sheetView workbookViewId="0">
      <selection activeCell="M34" sqref="M34"/>
    </sheetView>
  </sheetViews>
  <sheetFormatPr defaultRowHeight="14.5" x14ac:dyDescent="0.35"/>
  <cols>
    <col min="2" max="2" width="11.54296875" customWidth="1"/>
    <col min="3" max="3" width="56.453125" customWidth="1"/>
    <col min="4" max="4" width="27.6328125" customWidth="1"/>
    <col min="5" max="5" width="18.54296875" customWidth="1"/>
    <col min="6" max="6" width="13.08984375" customWidth="1"/>
    <col min="8" max="14" width="19" customWidth="1"/>
    <col min="15" max="15" width="14.453125" customWidth="1"/>
    <col min="16" max="16" width="26.54296875" bestFit="1" customWidth="1"/>
  </cols>
  <sheetData>
    <row r="3" spans="1:31" s="31" customFormat="1" ht="101.5" x14ac:dyDescent="0.35">
      <c r="A3" s="31" t="s">
        <v>518</v>
      </c>
      <c r="B3" s="31" t="str">
        <f t="shared" ref="B3:B34" si="0">_xlfn.CONCAT(C3,F3)</f>
        <v>Index NameIndex Rebalance #</v>
      </c>
      <c r="C3" s="31" t="s">
        <v>519</v>
      </c>
      <c r="D3" s="31" t="s">
        <v>520</v>
      </c>
      <c r="E3" s="31" t="s">
        <v>521</v>
      </c>
      <c r="F3" s="31" t="s">
        <v>522</v>
      </c>
      <c r="G3" s="31" t="s">
        <v>523</v>
      </c>
      <c r="H3" s="31" t="s">
        <v>524</v>
      </c>
      <c r="I3" s="31" t="s">
        <v>525</v>
      </c>
      <c r="J3" s="31" t="s">
        <v>526</v>
      </c>
      <c r="K3" s="31" t="s">
        <v>527</v>
      </c>
      <c r="L3" s="31" t="s">
        <v>528</v>
      </c>
      <c r="M3" s="31" t="s">
        <v>529</v>
      </c>
      <c r="N3" s="31" t="s">
        <v>530</v>
      </c>
      <c r="O3" s="31" t="s">
        <v>531</v>
      </c>
      <c r="P3" s="155" t="s">
        <v>532</v>
      </c>
      <c r="R3" s="31" t="s">
        <v>525</v>
      </c>
      <c r="S3" s="31" t="s">
        <v>526</v>
      </c>
      <c r="T3" s="31" t="s">
        <v>527</v>
      </c>
      <c r="U3" s="31" t="s">
        <v>528</v>
      </c>
      <c r="V3" s="31" t="s">
        <v>529</v>
      </c>
      <c r="W3" s="31" t="s">
        <v>530</v>
      </c>
    </row>
    <row r="4" spans="1:31" ht="15" x14ac:dyDescent="0.35">
      <c r="B4" t="str">
        <f t="shared" si="0"/>
        <v>iBoxx EUR Corporates Net Zero 2050 Paris-Aligned ESG Index0</v>
      </c>
      <c r="C4" t="s">
        <v>533</v>
      </c>
      <c r="D4" t="s">
        <v>163</v>
      </c>
      <c r="E4" t="s">
        <v>534</v>
      </c>
      <c r="F4">
        <v>0</v>
      </c>
      <c r="G4" t="s">
        <v>535</v>
      </c>
      <c r="H4" s="26">
        <v>43496</v>
      </c>
      <c r="I4" s="33">
        <v>19800207.14811448</v>
      </c>
      <c r="J4" s="33">
        <f t="shared" ref="J4:J35" si="1">IF(G4="PA",I4*0.5,IF(G4="CT",I4*0.7,""))</f>
        <v>9900103.57405724</v>
      </c>
      <c r="K4" s="33">
        <f t="shared" ref="K4:K35" si="2">VLOOKUP(C4,$C:$K,8,FALSE)*0.93^(F4/12)</f>
        <v>9900103.57405724</v>
      </c>
      <c r="L4" s="33">
        <f t="shared" ref="L4:L35" si="3">MIN(J4,K4)</f>
        <v>9900103.57405724</v>
      </c>
      <c r="M4" s="33">
        <f t="shared" ref="M4:M35" si="4">L4*0.975</f>
        <v>9652600.9847058095</v>
      </c>
      <c r="N4" s="33">
        <v>9652600.9847058207</v>
      </c>
      <c r="O4" s="40">
        <v>0.24931</v>
      </c>
      <c r="P4" s="155" t="s">
        <v>536</v>
      </c>
      <c r="R4">
        <f t="shared" ref="R4:R35" si="5">I4*1000000</f>
        <v>19800207148114.48</v>
      </c>
      <c r="S4">
        <f t="shared" ref="S4:S35" si="6">J4*1000000</f>
        <v>9900103574057.2402</v>
      </c>
      <c r="T4">
        <f t="shared" ref="T4:T35" si="7">K4*1000000</f>
        <v>9900103574057.2402</v>
      </c>
      <c r="U4">
        <f t="shared" ref="U4:U35" si="8">L4*1000000</f>
        <v>9900103574057.2402</v>
      </c>
      <c r="V4">
        <f t="shared" ref="V4:V35" si="9">M4*1000000</f>
        <v>9652600984705.8086</v>
      </c>
      <c r="W4">
        <f t="shared" ref="W4:W35" si="10">N4*1000000</f>
        <v>9652600984705.8203</v>
      </c>
      <c r="Z4" s="32">
        <v>19.800207148114481</v>
      </c>
      <c r="AA4" s="32" t="str">
        <f t="shared" ref="AA4:AA35" si="11">IF(X4="PA",Z4*0.5,IF(X4="CT",Z4*0.7,""))</f>
        <v/>
      </c>
      <c r="AB4" s="32" t="e">
        <f t="shared" ref="AB4:AB35" si="12">VLOOKUP(T4,$C:$K,8,FALSE)*0.93^(W4/12)</f>
        <v>#N/A</v>
      </c>
      <c r="AC4" s="32" t="e">
        <f t="shared" ref="AC4:AC35" si="13">MIN(AA4,AB4)</f>
        <v>#N/A</v>
      </c>
      <c r="AD4" s="32" t="e">
        <f t="shared" ref="AD4:AD35" si="14">AC4*0.975</f>
        <v>#N/A</v>
      </c>
      <c r="AE4" s="32">
        <v>9.6526009847058205</v>
      </c>
    </row>
    <row r="5" spans="1:31" ht="15" x14ac:dyDescent="0.35">
      <c r="B5" t="str">
        <f t="shared" si="0"/>
        <v>iBoxx EUR Corporates Net Zero 2050 Paris-Aligned ESG Index1</v>
      </c>
      <c r="C5" t="s">
        <v>533</v>
      </c>
      <c r="D5" t="s">
        <v>163</v>
      </c>
      <c r="E5" t="s">
        <v>534</v>
      </c>
      <c r="F5">
        <v>1</v>
      </c>
      <c r="G5" t="s">
        <v>535</v>
      </c>
      <c r="H5" s="26">
        <v>43524</v>
      </c>
      <c r="I5" s="33">
        <v>19777768.35707305</v>
      </c>
      <c r="J5" s="33">
        <f t="shared" si="1"/>
        <v>9888884.178536525</v>
      </c>
      <c r="K5" s="33">
        <f t="shared" si="2"/>
        <v>9840412.7997226845</v>
      </c>
      <c r="L5" s="33">
        <f t="shared" si="3"/>
        <v>9840412.7997226845</v>
      </c>
      <c r="M5" s="33">
        <f t="shared" si="4"/>
        <v>9594402.479729617</v>
      </c>
      <c r="N5" s="33">
        <v>9599013.61041742</v>
      </c>
      <c r="O5" s="40">
        <v>0.26035999999999998</v>
      </c>
      <c r="P5" s="155" t="s">
        <v>536</v>
      </c>
      <c r="R5">
        <f t="shared" si="5"/>
        <v>19777768357073.051</v>
      </c>
      <c r="S5">
        <f t="shared" si="6"/>
        <v>9888884178536.5254</v>
      </c>
      <c r="T5">
        <f t="shared" si="7"/>
        <v>9840412799722.6836</v>
      </c>
      <c r="U5">
        <f t="shared" si="8"/>
        <v>9840412799722.6836</v>
      </c>
      <c r="V5">
        <f t="shared" si="9"/>
        <v>9594402479729.6172</v>
      </c>
      <c r="W5">
        <f t="shared" si="10"/>
        <v>9599013610417.4199</v>
      </c>
      <c r="Z5" s="32">
        <v>19.77776835707305</v>
      </c>
      <c r="AA5" s="32" t="str">
        <f t="shared" si="11"/>
        <v/>
      </c>
      <c r="AB5" s="32" t="e">
        <f t="shared" si="12"/>
        <v>#N/A</v>
      </c>
      <c r="AC5" s="32" t="e">
        <f t="shared" si="13"/>
        <v>#N/A</v>
      </c>
      <c r="AD5" s="32" t="e">
        <f t="shared" si="14"/>
        <v>#N/A</v>
      </c>
      <c r="AE5" s="32">
        <v>9.5990136104174208</v>
      </c>
    </row>
    <row r="6" spans="1:31" ht="15" x14ac:dyDescent="0.35">
      <c r="B6" t="str">
        <f t="shared" si="0"/>
        <v>iBoxx EUR Corporates Net Zero 2050 Paris-Aligned ESG Index2</v>
      </c>
      <c r="C6" t="s">
        <v>533</v>
      </c>
      <c r="D6" t="s">
        <v>163</v>
      </c>
      <c r="E6" t="s">
        <v>534</v>
      </c>
      <c r="F6">
        <v>2</v>
      </c>
      <c r="G6" t="s">
        <v>535</v>
      </c>
      <c r="H6" s="26">
        <v>43555</v>
      </c>
      <c r="I6" s="33">
        <v>19838480.20932978</v>
      </c>
      <c r="J6" s="33">
        <f t="shared" si="1"/>
        <v>9919240.1046648901</v>
      </c>
      <c r="K6" s="33">
        <f t="shared" si="2"/>
        <v>9781081.9194552973</v>
      </c>
      <c r="L6" s="33">
        <f t="shared" si="3"/>
        <v>9781081.9194552973</v>
      </c>
      <c r="M6" s="33">
        <f t="shared" si="4"/>
        <v>9536554.8714689147</v>
      </c>
      <c r="N6" s="33">
        <v>9540031.6778530106</v>
      </c>
      <c r="O6" s="40">
        <v>0.26740999999999998</v>
      </c>
      <c r="P6" s="155" t="s">
        <v>536</v>
      </c>
      <c r="R6">
        <f t="shared" si="5"/>
        <v>19838480209329.781</v>
      </c>
      <c r="S6">
        <f t="shared" si="6"/>
        <v>9919240104664.8906</v>
      </c>
      <c r="T6">
        <f t="shared" si="7"/>
        <v>9781081919455.2969</v>
      </c>
      <c r="U6">
        <f t="shared" si="8"/>
        <v>9781081919455.2969</v>
      </c>
      <c r="V6">
        <f t="shared" si="9"/>
        <v>9536554871468.9141</v>
      </c>
      <c r="W6">
        <f t="shared" si="10"/>
        <v>9540031677853.0098</v>
      </c>
      <c r="Z6" s="32">
        <v>19.838480209329781</v>
      </c>
      <c r="AA6" s="32" t="str">
        <f t="shared" si="11"/>
        <v/>
      </c>
      <c r="AB6" s="32" t="e">
        <f t="shared" si="12"/>
        <v>#N/A</v>
      </c>
      <c r="AC6" s="32" t="e">
        <f t="shared" si="13"/>
        <v>#N/A</v>
      </c>
      <c r="AD6" s="32" t="e">
        <f t="shared" si="14"/>
        <v>#N/A</v>
      </c>
      <c r="AE6" s="32">
        <v>9.5400316778530101</v>
      </c>
    </row>
    <row r="7" spans="1:31" ht="15" x14ac:dyDescent="0.35">
      <c r="B7" t="str">
        <f t="shared" si="0"/>
        <v>iBoxx EUR Corporates Net Zero 2050 Paris-Aligned ESG Index3</v>
      </c>
      <c r="C7" t="s">
        <v>533</v>
      </c>
      <c r="D7" t="s">
        <v>163</v>
      </c>
      <c r="E7" t="s">
        <v>534</v>
      </c>
      <c r="F7">
        <v>3</v>
      </c>
      <c r="G7" t="s">
        <v>535</v>
      </c>
      <c r="H7" s="26">
        <v>43585</v>
      </c>
      <c r="I7" s="33">
        <v>19875824.84968064</v>
      </c>
      <c r="J7" s="33">
        <f t="shared" si="1"/>
        <v>9937912.4248403199</v>
      </c>
      <c r="K7" s="33">
        <f t="shared" si="2"/>
        <v>9722108.7633428778</v>
      </c>
      <c r="L7" s="33">
        <f t="shared" si="3"/>
        <v>9722108.7633428778</v>
      </c>
      <c r="M7" s="33">
        <f t="shared" si="4"/>
        <v>9479056.044259306</v>
      </c>
      <c r="N7" s="33">
        <v>9483297.4826128799</v>
      </c>
      <c r="O7" s="40">
        <v>0.27135999999999999</v>
      </c>
      <c r="P7" s="155" t="s">
        <v>536</v>
      </c>
      <c r="R7">
        <f t="shared" si="5"/>
        <v>19875824849680.641</v>
      </c>
      <c r="S7">
        <f t="shared" si="6"/>
        <v>9937912424840.3203</v>
      </c>
      <c r="T7">
        <f t="shared" si="7"/>
        <v>9722108763342.877</v>
      </c>
      <c r="U7">
        <f t="shared" si="8"/>
        <v>9722108763342.877</v>
      </c>
      <c r="V7">
        <f t="shared" si="9"/>
        <v>9479056044259.3066</v>
      </c>
      <c r="W7">
        <f t="shared" si="10"/>
        <v>9483297482612.8809</v>
      </c>
      <c r="Z7" s="32">
        <v>19.87582484968064</v>
      </c>
      <c r="AA7" s="32" t="str">
        <f t="shared" si="11"/>
        <v/>
      </c>
      <c r="AB7" s="32" t="e">
        <f t="shared" si="12"/>
        <v>#N/A</v>
      </c>
      <c r="AC7" s="32" t="e">
        <f t="shared" si="13"/>
        <v>#N/A</v>
      </c>
      <c r="AD7" s="32" t="e">
        <f t="shared" si="14"/>
        <v>#N/A</v>
      </c>
      <c r="AE7" s="32">
        <v>9.4832974826128797</v>
      </c>
    </row>
    <row r="8" spans="1:31" ht="15" x14ac:dyDescent="0.35">
      <c r="B8" t="str">
        <f t="shared" si="0"/>
        <v>iBoxx EUR Corporates Net Zero 2050 Paris-Aligned ESG Index4</v>
      </c>
      <c r="C8" t="s">
        <v>533</v>
      </c>
      <c r="D8" t="s">
        <v>163</v>
      </c>
      <c r="E8" t="s">
        <v>534</v>
      </c>
      <c r="F8">
        <v>4</v>
      </c>
      <c r="G8" t="s">
        <v>535</v>
      </c>
      <c r="H8" s="26">
        <v>43616</v>
      </c>
      <c r="I8" s="33">
        <v>19657674.19541847</v>
      </c>
      <c r="J8" s="33">
        <f t="shared" si="1"/>
        <v>9828837.0977092348</v>
      </c>
      <c r="K8" s="33">
        <f t="shared" si="2"/>
        <v>9663491.1745562926</v>
      </c>
      <c r="L8" s="33">
        <f t="shared" si="3"/>
        <v>9663491.1745562926</v>
      </c>
      <c r="M8" s="33">
        <f t="shared" si="4"/>
        <v>9421903.8951923847</v>
      </c>
      <c r="N8" s="33">
        <v>9425026.5773606393</v>
      </c>
      <c r="O8" s="40">
        <v>0.27778000000000003</v>
      </c>
      <c r="P8" s="155" t="s">
        <v>536</v>
      </c>
      <c r="R8">
        <f t="shared" si="5"/>
        <v>19657674195418.469</v>
      </c>
      <c r="S8">
        <f t="shared" si="6"/>
        <v>9828837097709.2344</v>
      </c>
      <c r="T8">
        <f t="shared" si="7"/>
        <v>9663491174556.293</v>
      </c>
      <c r="U8">
        <f t="shared" si="8"/>
        <v>9663491174556.293</v>
      </c>
      <c r="V8">
        <f t="shared" si="9"/>
        <v>9421903895192.3848</v>
      </c>
      <c r="W8">
        <f t="shared" si="10"/>
        <v>9425026577360.6387</v>
      </c>
      <c r="Z8" s="32">
        <v>19.657674195418469</v>
      </c>
      <c r="AA8" s="32" t="str">
        <f t="shared" si="11"/>
        <v/>
      </c>
      <c r="AB8" s="32" t="e">
        <f t="shared" si="12"/>
        <v>#N/A</v>
      </c>
      <c r="AC8" s="32" t="e">
        <f t="shared" si="13"/>
        <v>#N/A</v>
      </c>
      <c r="AD8" s="32" t="e">
        <f t="shared" si="14"/>
        <v>#N/A</v>
      </c>
      <c r="AE8" s="32">
        <v>9.4250265773606401</v>
      </c>
    </row>
    <row r="9" spans="1:31" ht="15" x14ac:dyDescent="0.35">
      <c r="B9" t="str">
        <f t="shared" si="0"/>
        <v>iBoxx EUR Corporates Net Zero 2050 Paris-Aligned ESG Index5</v>
      </c>
      <c r="C9" t="s">
        <v>533</v>
      </c>
      <c r="D9" t="s">
        <v>163</v>
      </c>
      <c r="E9" t="s">
        <v>534</v>
      </c>
      <c r="F9">
        <v>5</v>
      </c>
      <c r="G9" t="s">
        <v>535</v>
      </c>
      <c r="H9" s="26">
        <v>43646</v>
      </c>
      <c r="I9" s="33">
        <v>19699876.461253189</v>
      </c>
      <c r="J9" s="33">
        <f t="shared" si="1"/>
        <v>9849938.2306265943</v>
      </c>
      <c r="K9" s="33">
        <f t="shared" si="2"/>
        <v>9605227.0092705935</v>
      </c>
      <c r="L9" s="33">
        <f t="shared" si="3"/>
        <v>9605227.0092705935</v>
      </c>
      <c r="M9" s="33">
        <f t="shared" si="4"/>
        <v>9365096.3340388276</v>
      </c>
      <c r="N9" s="33">
        <v>9368976.3129548486</v>
      </c>
      <c r="O9" s="40">
        <v>0.28732999999999997</v>
      </c>
      <c r="P9" s="155" t="s">
        <v>536</v>
      </c>
      <c r="R9">
        <f t="shared" si="5"/>
        <v>19699876461253.188</v>
      </c>
      <c r="S9">
        <f t="shared" si="6"/>
        <v>9849938230626.5938</v>
      </c>
      <c r="T9">
        <f t="shared" si="7"/>
        <v>9605227009270.5938</v>
      </c>
      <c r="U9">
        <f t="shared" si="8"/>
        <v>9605227009270.5938</v>
      </c>
      <c r="V9">
        <f t="shared" si="9"/>
        <v>9365096334038.8281</v>
      </c>
      <c r="W9">
        <f t="shared" si="10"/>
        <v>9368976312954.8477</v>
      </c>
      <c r="Z9" s="32">
        <v>19.69987646125319</v>
      </c>
      <c r="AA9" s="32" t="str">
        <f t="shared" si="11"/>
        <v/>
      </c>
      <c r="AB9" s="32" t="e">
        <f t="shared" si="12"/>
        <v>#N/A</v>
      </c>
      <c r="AC9" s="32" t="e">
        <f t="shared" si="13"/>
        <v>#N/A</v>
      </c>
      <c r="AD9" s="32" t="e">
        <f t="shared" si="14"/>
        <v>#N/A</v>
      </c>
      <c r="AE9" s="32">
        <v>9.3689763129548496</v>
      </c>
    </row>
    <row r="10" spans="1:31" ht="15" x14ac:dyDescent="0.35">
      <c r="B10" t="str">
        <f t="shared" si="0"/>
        <v>iBoxx EUR Corporates Net Zero 2050 Paris-Aligned ESG Index6</v>
      </c>
      <c r="C10" t="s">
        <v>533</v>
      </c>
      <c r="D10" t="s">
        <v>163</v>
      </c>
      <c r="E10" t="s">
        <v>534</v>
      </c>
      <c r="F10">
        <v>6</v>
      </c>
      <c r="G10" t="s">
        <v>535</v>
      </c>
      <c r="H10" s="26">
        <v>43677</v>
      </c>
      <c r="I10" s="33">
        <v>19744113.25658704</v>
      </c>
      <c r="J10" s="33">
        <f t="shared" si="1"/>
        <v>9872056.6282935198</v>
      </c>
      <c r="K10" s="33">
        <f t="shared" si="2"/>
        <v>9547314.1365866177</v>
      </c>
      <c r="L10" s="33">
        <f t="shared" si="3"/>
        <v>9547314.1365866177</v>
      </c>
      <c r="M10" s="33">
        <f t="shared" si="4"/>
        <v>9308631.2831719518</v>
      </c>
      <c r="N10" s="33">
        <v>9311407.8635791503</v>
      </c>
      <c r="O10" s="40">
        <v>0.29264000000000001</v>
      </c>
      <c r="P10" s="155" t="s">
        <v>536</v>
      </c>
      <c r="R10">
        <f t="shared" si="5"/>
        <v>19744113256587.039</v>
      </c>
      <c r="S10">
        <f t="shared" si="6"/>
        <v>9872056628293.5195</v>
      </c>
      <c r="T10">
        <f t="shared" si="7"/>
        <v>9547314136586.6172</v>
      </c>
      <c r="U10">
        <f t="shared" si="8"/>
        <v>9547314136586.6172</v>
      </c>
      <c r="V10">
        <f t="shared" si="9"/>
        <v>9308631283171.9512</v>
      </c>
      <c r="W10">
        <f t="shared" si="10"/>
        <v>9311407863579.1504</v>
      </c>
      <c r="Z10" s="32">
        <v>19.744113256587038</v>
      </c>
      <c r="AA10" s="32" t="str">
        <f t="shared" si="11"/>
        <v/>
      </c>
      <c r="AB10" s="32" t="e">
        <f t="shared" si="12"/>
        <v>#N/A</v>
      </c>
      <c r="AC10" s="32" t="e">
        <f t="shared" si="13"/>
        <v>#N/A</v>
      </c>
      <c r="AD10" s="32" t="e">
        <f t="shared" si="14"/>
        <v>#N/A</v>
      </c>
      <c r="AE10" s="32">
        <v>9.3114078635791504</v>
      </c>
    </row>
    <row r="11" spans="1:31" ht="15" x14ac:dyDescent="0.35">
      <c r="B11" t="str">
        <f t="shared" si="0"/>
        <v>iBoxx EUR Corporates Net Zero 2050 Paris-Aligned ESG Index7</v>
      </c>
      <c r="C11" t="s">
        <v>533</v>
      </c>
      <c r="D11" t="s">
        <v>163</v>
      </c>
      <c r="E11" t="s">
        <v>534</v>
      </c>
      <c r="F11">
        <v>7</v>
      </c>
      <c r="G11" t="s">
        <v>535</v>
      </c>
      <c r="H11" s="26">
        <v>43708</v>
      </c>
      <c r="I11" s="33">
        <v>19764401.56550508</v>
      </c>
      <c r="J11" s="33">
        <f t="shared" si="1"/>
        <v>9882200.78275254</v>
      </c>
      <c r="K11" s="33">
        <f t="shared" si="2"/>
        <v>9489750.4384530485</v>
      </c>
      <c r="L11" s="33">
        <f t="shared" si="3"/>
        <v>9489750.4384530485</v>
      </c>
      <c r="M11" s="33">
        <f t="shared" si="4"/>
        <v>9252506.6774917226</v>
      </c>
      <c r="N11" s="33">
        <v>9254193.1482990403</v>
      </c>
      <c r="O11" s="40">
        <v>0.29371000000000003</v>
      </c>
      <c r="P11" s="155" t="s">
        <v>536</v>
      </c>
      <c r="R11">
        <f t="shared" si="5"/>
        <v>19764401565505.078</v>
      </c>
      <c r="S11">
        <f t="shared" si="6"/>
        <v>9882200782752.5391</v>
      </c>
      <c r="T11">
        <f t="shared" si="7"/>
        <v>9489750438453.0488</v>
      </c>
      <c r="U11">
        <f t="shared" si="8"/>
        <v>9489750438453.0488</v>
      </c>
      <c r="V11">
        <f t="shared" si="9"/>
        <v>9252506677491.7227</v>
      </c>
      <c r="W11">
        <f t="shared" si="10"/>
        <v>9254193148299.041</v>
      </c>
      <c r="Z11" s="32">
        <v>19.764401565505079</v>
      </c>
      <c r="AA11" s="32" t="str">
        <f t="shared" si="11"/>
        <v/>
      </c>
      <c r="AB11" s="32" t="e">
        <f t="shared" si="12"/>
        <v>#N/A</v>
      </c>
      <c r="AC11" s="32" t="e">
        <f t="shared" si="13"/>
        <v>#N/A</v>
      </c>
      <c r="AD11" s="32" t="e">
        <f t="shared" si="14"/>
        <v>#N/A</v>
      </c>
      <c r="AE11" s="32">
        <v>9.2541931482990396</v>
      </c>
    </row>
    <row r="12" spans="1:31" ht="15" x14ac:dyDescent="0.35">
      <c r="B12" t="str">
        <f t="shared" si="0"/>
        <v>iBoxx EUR Corporates Net Zero 2050 Paris-Aligned ESG Index8</v>
      </c>
      <c r="C12" t="s">
        <v>533</v>
      </c>
      <c r="D12" t="s">
        <v>163</v>
      </c>
      <c r="E12" t="s">
        <v>534</v>
      </c>
      <c r="F12">
        <v>8</v>
      </c>
      <c r="G12" t="s">
        <v>535</v>
      </c>
      <c r="H12" s="26">
        <v>43738</v>
      </c>
      <c r="I12" s="33">
        <v>19882102.70658033</v>
      </c>
      <c r="J12" s="33">
        <f t="shared" si="1"/>
        <v>9941051.3532901648</v>
      </c>
      <c r="K12" s="33">
        <f t="shared" si="2"/>
        <v>9432533.809588952</v>
      </c>
      <c r="L12" s="33">
        <f t="shared" si="3"/>
        <v>9432533.809588952</v>
      </c>
      <c r="M12" s="33">
        <f t="shared" si="4"/>
        <v>9196720.4643492289</v>
      </c>
      <c r="N12" s="33">
        <v>9199158.8236139305</v>
      </c>
      <c r="O12" s="40">
        <v>0.30897000000000002</v>
      </c>
      <c r="P12" s="155" t="s">
        <v>536</v>
      </c>
      <c r="R12">
        <f t="shared" si="5"/>
        <v>19882102706580.328</v>
      </c>
      <c r="S12">
        <f t="shared" si="6"/>
        <v>9941051353290.1641</v>
      </c>
      <c r="T12">
        <f t="shared" si="7"/>
        <v>9432533809588.9512</v>
      </c>
      <c r="U12">
        <f t="shared" si="8"/>
        <v>9432533809588.9512</v>
      </c>
      <c r="V12">
        <f t="shared" si="9"/>
        <v>9196720464349.2285</v>
      </c>
      <c r="W12">
        <f t="shared" si="10"/>
        <v>9199158823613.9297</v>
      </c>
      <c r="Z12" s="32">
        <v>19.88210270658033</v>
      </c>
      <c r="AA12" s="32" t="str">
        <f t="shared" si="11"/>
        <v/>
      </c>
      <c r="AB12" s="32" t="e">
        <f t="shared" si="12"/>
        <v>#N/A</v>
      </c>
      <c r="AC12" s="32" t="e">
        <f t="shared" si="13"/>
        <v>#N/A</v>
      </c>
      <c r="AD12" s="32" t="e">
        <f t="shared" si="14"/>
        <v>#N/A</v>
      </c>
      <c r="AE12" s="32">
        <v>9.1991588236139297</v>
      </c>
    </row>
    <row r="13" spans="1:31" ht="15" x14ac:dyDescent="0.35">
      <c r="B13" t="str">
        <f t="shared" si="0"/>
        <v>iBoxx EUR Corporates Net Zero 2050 Paris-Aligned ESG Index9</v>
      </c>
      <c r="C13" t="s">
        <v>533</v>
      </c>
      <c r="D13" t="s">
        <v>163</v>
      </c>
      <c r="E13" t="s">
        <v>534</v>
      </c>
      <c r="F13">
        <v>9</v>
      </c>
      <c r="G13" t="s">
        <v>535</v>
      </c>
      <c r="H13" s="26">
        <v>43769</v>
      </c>
      <c r="I13" s="33">
        <v>19936800.826981369</v>
      </c>
      <c r="J13" s="33">
        <f t="shared" si="1"/>
        <v>9968400.4134906847</v>
      </c>
      <c r="K13" s="33">
        <f t="shared" si="2"/>
        <v>9375662.1574067827</v>
      </c>
      <c r="L13" s="33">
        <f t="shared" si="3"/>
        <v>9375662.1574067827</v>
      </c>
      <c r="M13" s="33">
        <f t="shared" si="4"/>
        <v>9141270.6034716126</v>
      </c>
      <c r="N13" s="33">
        <v>9142633.8318382204</v>
      </c>
      <c r="O13" s="40">
        <v>0.31447999999999998</v>
      </c>
      <c r="P13" s="155" t="s">
        <v>536</v>
      </c>
      <c r="R13">
        <f t="shared" si="5"/>
        <v>19936800826981.371</v>
      </c>
      <c r="S13">
        <f t="shared" si="6"/>
        <v>9968400413490.6855</v>
      </c>
      <c r="T13">
        <f t="shared" si="7"/>
        <v>9375662157406.7832</v>
      </c>
      <c r="U13">
        <f t="shared" si="8"/>
        <v>9375662157406.7832</v>
      </c>
      <c r="V13">
        <f t="shared" si="9"/>
        <v>9141270603471.6133</v>
      </c>
      <c r="W13">
        <f t="shared" si="10"/>
        <v>9142633831838.2207</v>
      </c>
      <c r="Z13" s="32">
        <v>19.936800826981369</v>
      </c>
      <c r="AA13" s="32" t="str">
        <f t="shared" si="11"/>
        <v/>
      </c>
      <c r="AB13" s="32" t="e">
        <f t="shared" si="12"/>
        <v>#N/A</v>
      </c>
      <c r="AC13" s="32" t="e">
        <f t="shared" si="13"/>
        <v>#N/A</v>
      </c>
      <c r="AD13" s="32" t="e">
        <f t="shared" si="14"/>
        <v>#N/A</v>
      </c>
      <c r="AE13" s="32">
        <v>9.1426338318382196</v>
      </c>
    </row>
    <row r="14" spans="1:31" ht="15" x14ac:dyDescent="0.35">
      <c r="B14" t="str">
        <f t="shared" si="0"/>
        <v>iBoxx EUR Corporates Net Zero 2050 Paris-Aligned ESG Index10</v>
      </c>
      <c r="C14" t="s">
        <v>533</v>
      </c>
      <c r="D14" t="s">
        <v>163</v>
      </c>
      <c r="E14" t="s">
        <v>534</v>
      </c>
      <c r="F14">
        <v>10</v>
      </c>
      <c r="G14" t="s">
        <v>535</v>
      </c>
      <c r="H14" s="26">
        <v>43799</v>
      </c>
      <c r="I14" s="33">
        <v>19927923.740092341</v>
      </c>
      <c r="J14" s="33">
        <f t="shared" si="1"/>
        <v>9963961.8700461704</v>
      </c>
      <c r="K14" s="33">
        <f t="shared" si="2"/>
        <v>9319133.4019358493</v>
      </c>
      <c r="L14" s="33">
        <f t="shared" si="3"/>
        <v>9319133.4019358493</v>
      </c>
      <c r="M14" s="33">
        <f t="shared" si="4"/>
        <v>9086155.0668874532</v>
      </c>
      <c r="N14" s="33">
        <v>9088262.9460445605</v>
      </c>
      <c r="O14" s="40">
        <v>0.31585000000000002</v>
      </c>
      <c r="P14" s="155" t="s">
        <v>536</v>
      </c>
      <c r="R14">
        <f t="shared" si="5"/>
        <v>19927923740092.34</v>
      </c>
      <c r="S14">
        <f t="shared" si="6"/>
        <v>9963961870046.1699</v>
      </c>
      <c r="T14">
        <f t="shared" si="7"/>
        <v>9319133401935.8496</v>
      </c>
      <c r="U14">
        <f t="shared" si="8"/>
        <v>9319133401935.8496</v>
      </c>
      <c r="V14">
        <f t="shared" si="9"/>
        <v>9086155066887.4531</v>
      </c>
      <c r="W14">
        <f t="shared" si="10"/>
        <v>9088262946044.5605</v>
      </c>
      <c r="Z14" s="32">
        <v>19.927923740092339</v>
      </c>
      <c r="AA14" s="32" t="str">
        <f t="shared" si="11"/>
        <v/>
      </c>
      <c r="AB14" s="32" t="e">
        <f t="shared" si="12"/>
        <v>#N/A</v>
      </c>
      <c r="AC14" s="32" t="e">
        <f t="shared" si="13"/>
        <v>#N/A</v>
      </c>
      <c r="AD14" s="32" t="e">
        <f t="shared" si="14"/>
        <v>#N/A</v>
      </c>
      <c r="AE14" s="32">
        <v>9.0882629460445603</v>
      </c>
    </row>
    <row r="15" spans="1:31" ht="15" x14ac:dyDescent="0.35">
      <c r="B15" t="str">
        <f t="shared" si="0"/>
        <v>iBoxx EUR Corporates Net Zero 2050 Paris-Aligned ESG Index11</v>
      </c>
      <c r="C15" t="s">
        <v>533</v>
      </c>
      <c r="D15" t="s">
        <v>163</v>
      </c>
      <c r="E15" t="s">
        <v>534</v>
      </c>
      <c r="F15">
        <v>11</v>
      </c>
      <c r="G15" t="s">
        <v>535</v>
      </c>
      <c r="H15" s="26">
        <v>43830</v>
      </c>
      <c r="I15" s="33">
        <v>19895740.38445485</v>
      </c>
      <c r="J15" s="33">
        <f t="shared" si="1"/>
        <v>9947870.1922274251</v>
      </c>
      <c r="K15" s="33">
        <f t="shared" si="2"/>
        <v>9262945.4757462442</v>
      </c>
      <c r="L15" s="33">
        <f t="shared" si="3"/>
        <v>9262945.4757462442</v>
      </c>
      <c r="M15" s="33">
        <f t="shared" si="4"/>
        <v>9031371.8388525881</v>
      </c>
      <c r="N15" s="33">
        <v>9032419.3631549589</v>
      </c>
      <c r="O15" s="40">
        <v>0.31602000000000002</v>
      </c>
      <c r="P15" s="155" t="s">
        <v>536</v>
      </c>
      <c r="R15">
        <f t="shared" si="5"/>
        <v>19895740384454.852</v>
      </c>
      <c r="S15">
        <f t="shared" si="6"/>
        <v>9947870192227.4258</v>
      </c>
      <c r="T15">
        <f t="shared" si="7"/>
        <v>9262945475746.2441</v>
      </c>
      <c r="U15">
        <f t="shared" si="8"/>
        <v>9262945475746.2441</v>
      </c>
      <c r="V15">
        <f t="shared" si="9"/>
        <v>9031371838852.5879</v>
      </c>
      <c r="W15">
        <f t="shared" si="10"/>
        <v>9032419363154.959</v>
      </c>
      <c r="Z15" s="32">
        <v>19.89574038445485</v>
      </c>
      <c r="AA15" s="32" t="str">
        <f t="shared" si="11"/>
        <v/>
      </c>
      <c r="AB15" s="32" t="e">
        <f t="shared" si="12"/>
        <v>#N/A</v>
      </c>
      <c r="AC15" s="32" t="e">
        <f t="shared" si="13"/>
        <v>#N/A</v>
      </c>
      <c r="AD15" s="32" t="e">
        <f t="shared" si="14"/>
        <v>#N/A</v>
      </c>
      <c r="AE15" s="32">
        <v>9.0324193631549594</v>
      </c>
    </row>
    <row r="16" spans="1:31" ht="15" x14ac:dyDescent="0.35">
      <c r="B16" t="str">
        <f t="shared" si="0"/>
        <v>iBoxx EUR Corporates Net Zero 2050 Paris-Aligned ESG Index12</v>
      </c>
      <c r="C16" t="s">
        <v>533</v>
      </c>
      <c r="D16" t="s">
        <v>163</v>
      </c>
      <c r="E16" t="s">
        <v>534</v>
      </c>
      <c r="F16">
        <v>12</v>
      </c>
      <c r="G16" t="s">
        <v>535</v>
      </c>
      <c r="H16" s="26">
        <v>43861</v>
      </c>
      <c r="I16" s="33">
        <v>20601003.049196649</v>
      </c>
      <c r="J16" s="33">
        <f t="shared" si="1"/>
        <v>10300501.524598325</v>
      </c>
      <c r="K16" s="33">
        <f t="shared" si="2"/>
        <v>9207096.3238732331</v>
      </c>
      <c r="L16" s="33">
        <f t="shared" si="3"/>
        <v>9207096.3238732331</v>
      </c>
      <c r="M16" s="33">
        <f t="shared" si="4"/>
        <v>8976918.9157764018</v>
      </c>
      <c r="N16" s="33">
        <v>8976918.9157764111</v>
      </c>
      <c r="O16" s="40">
        <v>0.32024999999999998</v>
      </c>
      <c r="P16" s="155" t="s">
        <v>536</v>
      </c>
      <c r="R16">
        <f t="shared" si="5"/>
        <v>20601003049196.648</v>
      </c>
      <c r="S16">
        <f t="shared" si="6"/>
        <v>10300501524598.324</v>
      </c>
      <c r="T16">
        <f t="shared" si="7"/>
        <v>9207096323873.2324</v>
      </c>
      <c r="U16">
        <f t="shared" si="8"/>
        <v>9207096323873.2324</v>
      </c>
      <c r="V16">
        <f t="shared" si="9"/>
        <v>8976918915776.4023</v>
      </c>
      <c r="W16">
        <f t="shared" si="10"/>
        <v>8976918915776.4102</v>
      </c>
      <c r="Z16" s="32">
        <v>20.601003049196649</v>
      </c>
      <c r="AA16" s="32" t="str">
        <f t="shared" si="11"/>
        <v/>
      </c>
      <c r="AB16" s="32" t="e">
        <f t="shared" si="12"/>
        <v>#N/A</v>
      </c>
      <c r="AC16" s="32" t="e">
        <f t="shared" si="13"/>
        <v>#N/A</v>
      </c>
      <c r="AD16" s="32" t="e">
        <f t="shared" si="14"/>
        <v>#N/A</v>
      </c>
      <c r="AE16" s="32">
        <v>8.9769189157764107</v>
      </c>
    </row>
    <row r="17" spans="2:31" ht="15" x14ac:dyDescent="0.35">
      <c r="B17" t="str">
        <f t="shared" si="0"/>
        <v>iBoxx EUR Corporates Net Zero 2050 Paris-Aligned ESG Index13</v>
      </c>
      <c r="C17" t="s">
        <v>533</v>
      </c>
      <c r="D17" t="s">
        <v>163</v>
      </c>
      <c r="E17" t="s">
        <v>534</v>
      </c>
      <c r="F17">
        <v>13</v>
      </c>
      <c r="G17" t="s">
        <v>535</v>
      </c>
      <c r="H17" s="26">
        <v>43889</v>
      </c>
      <c r="I17" s="33">
        <v>20573378.373564471</v>
      </c>
      <c r="J17" s="33">
        <f t="shared" si="1"/>
        <v>10286689.186782235</v>
      </c>
      <c r="K17" s="33">
        <f t="shared" si="2"/>
        <v>9151583.9037420973</v>
      </c>
      <c r="L17" s="33">
        <f t="shared" si="3"/>
        <v>9151583.9037420973</v>
      </c>
      <c r="M17" s="33">
        <f t="shared" si="4"/>
        <v>8922794.306148544</v>
      </c>
      <c r="N17" s="33">
        <v>8925307.9174847789</v>
      </c>
      <c r="O17" s="40">
        <v>0.31890000000000002</v>
      </c>
      <c r="P17" s="155" t="s">
        <v>536</v>
      </c>
      <c r="R17">
        <f t="shared" si="5"/>
        <v>20573378373564.469</v>
      </c>
      <c r="S17">
        <f t="shared" si="6"/>
        <v>10286689186782.234</v>
      </c>
      <c r="T17">
        <f t="shared" si="7"/>
        <v>9151583903742.0977</v>
      </c>
      <c r="U17">
        <f t="shared" si="8"/>
        <v>9151583903742.0977</v>
      </c>
      <c r="V17">
        <f t="shared" si="9"/>
        <v>8922794306148.5449</v>
      </c>
      <c r="W17">
        <f t="shared" si="10"/>
        <v>8925307917484.7793</v>
      </c>
      <c r="Z17" s="32">
        <v>20.57337837356447</v>
      </c>
      <c r="AA17" s="32" t="str">
        <f t="shared" si="11"/>
        <v/>
      </c>
      <c r="AB17" s="32" t="e">
        <f t="shared" si="12"/>
        <v>#N/A</v>
      </c>
      <c r="AC17" s="32" t="e">
        <f t="shared" si="13"/>
        <v>#N/A</v>
      </c>
      <c r="AD17" s="32" t="e">
        <f t="shared" si="14"/>
        <v>#N/A</v>
      </c>
      <c r="AE17" s="32">
        <v>8.9253079174847798</v>
      </c>
    </row>
    <row r="18" spans="2:31" ht="15" x14ac:dyDescent="0.35">
      <c r="B18" t="str">
        <f t="shared" si="0"/>
        <v>iBoxx EUR Corporates Net Zero 2050 Paris-Aligned ESG Index14</v>
      </c>
      <c r="C18" t="s">
        <v>533</v>
      </c>
      <c r="D18" t="s">
        <v>163</v>
      </c>
      <c r="E18" t="s">
        <v>534</v>
      </c>
      <c r="F18">
        <v>14</v>
      </c>
      <c r="G18" t="s">
        <v>535</v>
      </c>
      <c r="H18" s="26">
        <v>43921</v>
      </c>
      <c r="I18" s="33">
        <v>20603733.272554182</v>
      </c>
      <c r="J18" s="33">
        <f t="shared" si="1"/>
        <v>10301866.636277091</v>
      </c>
      <c r="K18" s="33">
        <f t="shared" si="2"/>
        <v>9096406.1850934271</v>
      </c>
      <c r="L18" s="33">
        <f t="shared" si="3"/>
        <v>9096406.1850934271</v>
      </c>
      <c r="M18" s="33">
        <f t="shared" si="4"/>
        <v>8868996.0304660909</v>
      </c>
      <c r="N18" s="33">
        <v>8870465.6252376996</v>
      </c>
      <c r="O18" s="40">
        <v>0.32352999999999998</v>
      </c>
      <c r="P18" s="155" t="s">
        <v>536</v>
      </c>
      <c r="R18">
        <f t="shared" si="5"/>
        <v>20603733272554.18</v>
      </c>
      <c r="S18">
        <f t="shared" si="6"/>
        <v>10301866636277.09</v>
      </c>
      <c r="T18">
        <f t="shared" si="7"/>
        <v>9096406185093.4277</v>
      </c>
      <c r="U18">
        <f t="shared" si="8"/>
        <v>9096406185093.4277</v>
      </c>
      <c r="V18">
        <f t="shared" si="9"/>
        <v>8868996030466.0918</v>
      </c>
      <c r="W18">
        <f t="shared" si="10"/>
        <v>8870465625237.6992</v>
      </c>
      <c r="Z18" s="32">
        <v>20.60373327255418</v>
      </c>
      <c r="AA18" s="32" t="str">
        <f t="shared" si="11"/>
        <v/>
      </c>
      <c r="AB18" s="32" t="e">
        <f t="shared" si="12"/>
        <v>#N/A</v>
      </c>
      <c r="AC18" s="32" t="e">
        <f t="shared" si="13"/>
        <v>#N/A</v>
      </c>
      <c r="AD18" s="32" t="e">
        <f t="shared" si="14"/>
        <v>#N/A</v>
      </c>
      <c r="AE18" s="32">
        <v>8.8704656252376992</v>
      </c>
    </row>
    <row r="19" spans="2:31" ht="15" x14ac:dyDescent="0.35">
      <c r="B19" t="str">
        <f t="shared" si="0"/>
        <v>iBoxx EUR Corporates Net Zero 2050 Paris-Aligned ESG Index15</v>
      </c>
      <c r="C19" t="s">
        <v>533</v>
      </c>
      <c r="D19" t="s">
        <v>163</v>
      </c>
      <c r="E19" t="s">
        <v>534</v>
      </c>
      <c r="F19">
        <v>15</v>
      </c>
      <c r="G19" t="s">
        <v>535</v>
      </c>
      <c r="H19" s="26">
        <v>43951</v>
      </c>
      <c r="I19" s="33">
        <v>20225816.44031015</v>
      </c>
      <c r="J19" s="33">
        <f t="shared" si="1"/>
        <v>10112908.220155075</v>
      </c>
      <c r="K19" s="33">
        <f t="shared" si="2"/>
        <v>9041561.1499088779</v>
      </c>
      <c r="L19" s="33">
        <f t="shared" si="3"/>
        <v>9041561.1499088779</v>
      </c>
      <c r="M19" s="33">
        <f t="shared" si="4"/>
        <v>8815522.1211611554</v>
      </c>
      <c r="N19" s="33">
        <v>8817713.3131231312</v>
      </c>
      <c r="O19" s="40">
        <v>0.32579999999999998</v>
      </c>
      <c r="P19" s="155" t="s">
        <v>536</v>
      </c>
      <c r="R19">
        <f t="shared" si="5"/>
        <v>20225816440310.148</v>
      </c>
      <c r="S19">
        <f t="shared" si="6"/>
        <v>10112908220155.074</v>
      </c>
      <c r="T19">
        <f t="shared" si="7"/>
        <v>9041561149908.877</v>
      </c>
      <c r="U19">
        <f t="shared" si="8"/>
        <v>9041561149908.877</v>
      </c>
      <c r="V19">
        <f t="shared" si="9"/>
        <v>8815522121161.1563</v>
      </c>
      <c r="W19">
        <f t="shared" si="10"/>
        <v>8817713313123.1309</v>
      </c>
      <c r="Z19" s="32">
        <v>20.225816440310151</v>
      </c>
      <c r="AA19" s="32" t="str">
        <f t="shared" si="11"/>
        <v/>
      </c>
      <c r="AB19" s="32" t="e">
        <f t="shared" si="12"/>
        <v>#N/A</v>
      </c>
      <c r="AC19" s="32" t="e">
        <f t="shared" si="13"/>
        <v>#N/A</v>
      </c>
      <c r="AD19" s="32" t="e">
        <f t="shared" si="14"/>
        <v>#N/A</v>
      </c>
      <c r="AE19" s="32">
        <v>8.8177133131231304</v>
      </c>
    </row>
    <row r="20" spans="2:31" ht="15" x14ac:dyDescent="0.35">
      <c r="B20" t="str">
        <f t="shared" si="0"/>
        <v>iBoxx EUR Corporates Net Zero 2050 Paris-Aligned ESG Index16</v>
      </c>
      <c r="C20" t="s">
        <v>533</v>
      </c>
      <c r="D20" t="s">
        <v>163</v>
      </c>
      <c r="E20" t="s">
        <v>534</v>
      </c>
      <c r="F20">
        <v>16</v>
      </c>
      <c r="G20" t="s">
        <v>535</v>
      </c>
      <c r="H20" s="26">
        <v>43982</v>
      </c>
      <c r="I20" s="33">
        <v>19869501.252363939</v>
      </c>
      <c r="J20" s="33">
        <f t="shared" si="1"/>
        <v>9934750.6261819694</v>
      </c>
      <c r="K20" s="33">
        <f t="shared" si="2"/>
        <v>8987046.7923373524</v>
      </c>
      <c r="L20" s="33">
        <f t="shared" si="3"/>
        <v>8987046.7923373524</v>
      </c>
      <c r="M20" s="33">
        <f t="shared" si="4"/>
        <v>8762370.6225289181</v>
      </c>
      <c r="N20" s="33">
        <v>8763532.1448161602</v>
      </c>
      <c r="O20" s="40">
        <v>0.33006999999999997</v>
      </c>
      <c r="P20" s="155" t="s">
        <v>536</v>
      </c>
      <c r="R20">
        <f t="shared" si="5"/>
        <v>19869501252363.938</v>
      </c>
      <c r="S20">
        <f t="shared" si="6"/>
        <v>9934750626181.9688</v>
      </c>
      <c r="T20">
        <f t="shared" si="7"/>
        <v>8987046792337.3516</v>
      </c>
      <c r="U20">
        <f t="shared" si="8"/>
        <v>8987046792337.3516</v>
      </c>
      <c r="V20">
        <f t="shared" si="9"/>
        <v>8762370622528.918</v>
      </c>
      <c r="W20">
        <f t="shared" si="10"/>
        <v>8763532144816.1602</v>
      </c>
      <c r="Z20" s="32">
        <v>19.869501252363939</v>
      </c>
      <c r="AA20" s="32" t="str">
        <f t="shared" si="11"/>
        <v/>
      </c>
      <c r="AB20" s="32" t="e">
        <f t="shared" si="12"/>
        <v>#N/A</v>
      </c>
      <c r="AC20" s="32" t="e">
        <f t="shared" si="13"/>
        <v>#N/A</v>
      </c>
      <c r="AD20" s="32" t="e">
        <f t="shared" si="14"/>
        <v>#N/A</v>
      </c>
      <c r="AE20" s="32">
        <v>8.7635321448161605</v>
      </c>
    </row>
    <row r="21" spans="2:31" ht="15" x14ac:dyDescent="0.35">
      <c r="B21" t="str">
        <f t="shared" si="0"/>
        <v>iBoxx EUR Corporates Net Zero 2050 Paris-Aligned ESG Index17</v>
      </c>
      <c r="C21" t="s">
        <v>533</v>
      </c>
      <c r="D21" t="s">
        <v>163</v>
      </c>
      <c r="E21" t="s">
        <v>534</v>
      </c>
      <c r="F21">
        <v>17</v>
      </c>
      <c r="G21" t="s">
        <v>535</v>
      </c>
      <c r="H21" s="26">
        <v>44012</v>
      </c>
      <c r="I21" s="33">
        <v>20860633.056004081</v>
      </c>
      <c r="J21" s="33">
        <f t="shared" si="1"/>
        <v>10430316.52800204</v>
      </c>
      <c r="K21" s="33">
        <f t="shared" si="2"/>
        <v>8932861.1186216511</v>
      </c>
      <c r="L21" s="33">
        <f t="shared" si="3"/>
        <v>8932861.1186216511</v>
      </c>
      <c r="M21" s="33">
        <f t="shared" si="4"/>
        <v>8709539.5906561092</v>
      </c>
      <c r="N21" s="33">
        <v>8711415.7619270794</v>
      </c>
      <c r="O21" s="40">
        <v>0.33312999999999998</v>
      </c>
      <c r="P21" s="155" t="s">
        <v>536</v>
      </c>
      <c r="R21">
        <f t="shared" si="5"/>
        <v>20860633056004.082</v>
      </c>
      <c r="S21">
        <f t="shared" si="6"/>
        <v>10430316528002.041</v>
      </c>
      <c r="T21">
        <f t="shared" si="7"/>
        <v>8932861118621.6504</v>
      </c>
      <c r="U21">
        <f t="shared" si="8"/>
        <v>8932861118621.6504</v>
      </c>
      <c r="V21">
        <f t="shared" si="9"/>
        <v>8709539590656.1094</v>
      </c>
      <c r="W21">
        <f t="shared" si="10"/>
        <v>8711415761927.0791</v>
      </c>
      <c r="Z21" s="32">
        <v>20.86063305600408</v>
      </c>
      <c r="AA21" s="32" t="str">
        <f t="shared" si="11"/>
        <v/>
      </c>
      <c r="AB21" s="32" t="e">
        <f t="shared" si="12"/>
        <v>#N/A</v>
      </c>
      <c r="AC21" s="32" t="e">
        <f t="shared" si="13"/>
        <v>#N/A</v>
      </c>
      <c r="AD21" s="32" t="e">
        <f t="shared" si="14"/>
        <v>#N/A</v>
      </c>
      <c r="AE21" s="32">
        <v>8.7114157619270802</v>
      </c>
    </row>
    <row r="22" spans="2:31" ht="15" x14ac:dyDescent="0.35">
      <c r="B22" t="str">
        <f t="shared" si="0"/>
        <v>iBoxx EUR Corporates Net Zero 2050 Paris-Aligned ESG Index18</v>
      </c>
      <c r="C22" t="s">
        <v>533</v>
      </c>
      <c r="D22" t="s">
        <v>163</v>
      </c>
      <c r="E22" t="s">
        <v>534</v>
      </c>
      <c r="F22">
        <v>18</v>
      </c>
      <c r="G22" t="s">
        <v>535</v>
      </c>
      <c r="H22" s="26">
        <v>44043</v>
      </c>
      <c r="I22" s="33">
        <v>20547732.44915178</v>
      </c>
      <c r="J22" s="33">
        <f t="shared" si="1"/>
        <v>10273866.22457589</v>
      </c>
      <c r="K22" s="33">
        <f t="shared" si="2"/>
        <v>8879002.1470255554</v>
      </c>
      <c r="L22" s="33">
        <f t="shared" si="3"/>
        <v>8879002.1470255554</v>
      </c>
      <c r="M22" s="33">
        <f t="shared" si="4"/>
        <v>8657027.0933499169</v>
      </c>
      <c r="N22" s="33">
        <v>8657887.7477097511</v>
      </c>
      <c r="O22" s="40">
        <v>0.33315</v>
      </c>
      <c r="P22" s="155" t="s">
        <v>536</v>
      </c>
      <c r="R22">
        <f t="shared" si="5"/>
        <v>20547732449151.781</v>
      </c>
      <c r="S22">
        <f t="shared" si="6"/>
        <v>10273866224575.891</v>
      </c>
      <c r="T22">
        <f t="shared" si="7"/>
        <v>8879002147025.5547</v>
      </c>
      <c r="U22">
        <f t="shared" si="8"/>
        <v>8879002147025.5547</v>
      </c>
      <c r="V22">
        <f t="shared" si="9"/>
        <v>8657027093349.917</v>
      </c>
      <c r="W22">
        <f t="shared" si="10"/>
        <v>8657887747709.751</v>
      </c>
      <c r="Z22" s="32">
        <v>20.547732449151781</v>
      </c>
      <c r="AA22" s="32" t="str">
        <f t="shared" si="11"/>
        <v/>
      </c>
      <c r="AB22" s="32" t="e">
        <f t="shared" si="12"/>
        <v>#N/A</v>
      </c>
      <c r="AC22" s="32" t="e">
        <f t="shared" si="13"/>
        <v>#N/A</v>
      </c>
      <c r="AD22" s="32" t="e">
        <f t="shared" si="14"/>
        <v>#N/A</v>
      </c>
      <c r="AE22" s="32">
        <v>8.6578877477097507</v>
      </c>
    </row>
    <row r="23" spans="2:31" ht="15" x14ac:dyDescent="0.35">
      <c r="B23" t="str">
        <f t="shared" si="0"/>
        <v>iBoxx EUR Corporates Net Zero 2050 Paris-Aligned ESG Index19</v>
      </c>
      <c r="C23" t="s">
        <v>533</v>
      </c>
      <c r="D23" t="s">
        <v>163</v>
      </c>
      <c r="E23" t="s">
        <v>534</v>
      </c>
      <c r="F23">
        <v>19</v>
      </c>
      <c r="G23" t="s">
        <v>535</v>
      </c>
      <c r="H23" s="26">
        <v>44074</v>
      </c>
      <c r="I23" s="33">
        <v>20401355.655947138</v>
      </c>
      <c r="J23" s="33">
        <f t="shared" si="1"/>
        <v>10200677.827973569</v>
      </c>
      <c r="K23" s="33">
        <f t="shared" si="2"/>
        <v>8825467.9077613354</v>
      </c>
      <c r="L23" s="33">
        <f t="shared" si="3"/>
        <v>8825467.9077613354</v>
      </c>
      <c r="M23" s="33">
        <f t="shared" si="4"/>
        <v>8604831.210067302</v>
      </c>
      <c r="N23" s="33">
        <v>8604688.6408003103</v>
      </c>
      <c r="O23" s="40">
        <v>0.33126</v>
      </c>
      <c r="P23" s="155" t="s">
        <v>536</v>
      </c>
      <c r="R23">
        <f t="shared" si="5"/>
        <v>20401355655947.137</v>
      </c>
      <c r="S23">
        <f t="shared" si="6"/>
        <v>10200677827973.568</v>
      </c>
      <c r="T23">
        <f t="shared" si="7"/>
        <v>8825467907761.3359</v>
      </c>
      <c r="U23">
        <f t="shared" si="8"/>
        <v>8825467907761.3359</v>
      </c>
      <c r="V23">
        <f t="shared" si="9"/>
        <v>8604831210067.3018</v>
      </c>
      <c r="W23">
        <f t="shared" si="10"/>
        <v>8604688640800.3105</v>
      </c>
      <c r="Z23" s="32">
        <v>20.401355655947139</v>
      </c>
      <c r="AA23" s="32" t="str">
        <f t="shared" si="11"/>
        <v/>
      </c>
      <c r="AB23" s="32" t="e">
        <f t="shared" si="12"/>
        <v>#N/A</v>
      </c>
      <c r="AC23" s="32" t="e">
        <f t="shared" si="13"/>
        <v>#N/A</v>
      </c>
      <c r="AD23" s="32" t="e">
        <f t="shared" si="14"/>
        <v>#N/A</v>
      </c>
      <c r="AE23" s="32">
        <v>8.60468864080031</v>
      </c>
    </row>
    <row r="24" spans="2:31" ht="15" x14ac:dyDescent="0.35">
      <c r="B24" t="str">
        <f t="shared" si="0"/>
        <v>iBoxx EUR Corporates Net Zero 2050 Paris-Aligned ESG Index20</v>
      </c>
      <c r="C24" t="s">
        <v>533</v>
      </c>
      <c r="D24" t="s">
        <v>163</v>
      </c>
      <c r="E24" t="s">
        <v>534</v>
      </c>
      <c r="F24">
        <v>20</v>
      </c>
      <c r="G24" t="s">
        <v>535</v>
      </c>
      <c r="H24" s="26">
        <v>44104</v>
      </c>
      <c r="I24" s="33">
        <v>20613986.23895682</v>
      </c>
      <c r="J24" s="33">
        <f t="shared" si="1"/>
        <v>10306993.11947841</v>
      </c>
      <c r="K24" s="33">
        <f t="shared" si="2"/>
        <v>8772256.4429177269</v>
      </c>
      <c r="L24" s="33">
        <f t="shared" si="3"/>
        <v>8772256.4429177269</v>
      </c>
      <c r="M24" s="33">
        <f t="shared" si="4"/>
        <v>8552950.0318447836</v>
      </c>
      <c r="N24" s="33">
        <v>8553516.8940166216</v>
      </c>
      <c r="O24" s="40">
        <v>0.33119999999999999</v>
      </c>
      <c r="P24" s="155" t="s">
        <v>536</v>
      </c>
      <c r="R24">
        <f t="shared" si="5"/>
        <v>20613986238956.82</v>
      </c>
      <c r="S24">
        <f t="shared" si="6"/>
        <v>10306993119478.41</v>
      </c>
      <c r="T24">
        <f t="shared" si="7"/>
        <v>8772256442917.7266</v>
      </c>
      <c r="U24">
        <f t="shared" si="8"/>
        <v>8772256442917.7266</v>
      </c>
      <c r="V24">
        <f t="shared" si="9"/>
        <v>8552950031844.7832</v>
      </c>
      <c r="W24">
        <f t="shared" si="10"/>
        <v>8553516894016.6221</v>
      </c>
      <c r="Z24" s="32">
        <v>20.613986238956819</v>
      </c>
      <c r="AA24" s="32" t="str">
        <f t="shared" si="11"/>
        <v/>
      </c>
      <c r="AB24" s="32" t="e">
        <f t="shared" si="12"/>
        <v>#N/A</v>
      </c>
      <c r="AC24" s="32" t="e">
        <f t="shared" si="13"/>
        <v>#N/A</v>
      </c>
      <c r="AD24" s="32" t="e">
        <f t="shared" si="14"/>
        <v>#N/A</v>
      </c>
      <c r="AE24" s="32">
        <v>8.5535168940166209</v>
      </c>
    </row>
    <row r="25" spans="2:31" ht="15" x14ac:dyDescent="0.35">
      <c r="B25" t="str">
        <f t="shared" si="0"/>
        <v>iBoxx EUR Corporates Net Zero 2050 Paris-Aligned ESG Index21</v>
      </c>
      <c r="C25" t="s">
        <v>533</v>
      </c>
      <c r="D25" t="s">
        <v>163</v>
      </c>
      <c r="E25" t="s">
        <v>534</v>
      </c>
      <c r="F25">
        <v>21</v>
      </c>
      <c r="G25" t="s">
        <v>535</v>
      </c>
      <c r="H25" s="26">
        <v>44135</v>
      </c>
      <c r="I25" s="33">
        <v>20647217.05589005</v>
      </c>
      <c r="J25" s="33">
        <f t="shared" si="1"/>
        <v>10323608.527945025</v>
      </c>
      <c r="K25" s="33">
        <f t="shared" si="2"/>
        <v>8719365.8063883092</v>
      </c>
      <c r="L25" s="33">
        <f t="shared" si="3"/>
        <v>8719365.8063883092</v>
      </c>
      <c r="M25" s="33">
        <f t="shared" si="4"/>
        <v>8501381.6612286009</v>
      </c>
      <c r="N25" s="33">
        <v>8500959.1024447605</v>
      </c>
      <c r="O25" s="40">
        <v>0.32976</v>
      </c>
      <c r="P25" s="155" t="s">
        <v>536</v>
      </c>
      <c r="R25">
        <f t="shared" si="5"/>
        <v>20647217055890.051</v>
      </c>
      <c r="S25">
        <f t="shared" si="6"/>
        <v>10323608527945.025</v>
      </c>
      <c r="T25">
        <f t="shared" si="7"/>
        <v>8719365806388.3096</v>
      </c>
      <c r="U25">
        <f t="shared" si="8"/>
        <v>8719365806388.3096</v>
      </c>
      <c r="V25">
        <f t="shared" si="9"/>
        <v>8501381661228.6006</v>
      </c>
      <c r="W25">
        <f t="shared" si="10"/>
        <v>8500959102444.7607</v>
      </c>
      <c r="Z25" s="32">
        <v>20.647217055890049</v>
      </c>
      <c r="AA25" s="32" t="str">
        <f t="shared" si="11"/>
        <v/>
      </c>
      <c r="AB25" s="32" t="e">
        <f t="shared" si="12"/>
        <v>#N/A</v>
      </c>
      <c r="AC25" s="32" t="e">
        <f t="shared" si="13"/>
        <v>#N/A</v>
      </c>
      <c r="AD25" s="32" t="e">
        <f t="shared" si="14"/>
        <v>#N/A</v>
      </c>
      <c r="AE25" s="32">
        <v>8.5009591024447602</v>
      </c>
    </row>
    <row r="26" spans="2:31" ht="15" x14ac:dyDescent="0.35">
      <c r="B26" t="str">
        <f t="shared" si="0"/>
        <v>iBoxx EUR Corporates Net Zero 2050 Paris-Aligned ESG Index22</v>
      </c>
      <c r="C26" t="s">
        <v>533</v>
      </c>
      <c r="D26" t="s">
        <v>163</v>
      </c>
      <c r="E26" t="s">
        <v>534</v>
      </c>
      <c r="F26">
        <v>22</v>
      </c>
      <c r="G26" t="s">
        <v>535</v>
      </c>
      <c r="H26" s="26">
        <v>44165</v>
      </c>
      <c r="I26" s="33">
        <v>20701226.343668822</v>
      </c>
      <c r="J26" s="33">
        <f t="shared" si="1"/>
        <v>10350613.171834411</v>
      </c>
      <c r="K26" s="33">
        <f t="shared" si="2"/>
        <v>8666794.0638003405</v>
      </c>
      <c r="L26" s="33">
        <f t="shared" si="3"/>
        <v>8666794.0638003405</v>
      </c>
      <c r="M26" s="33">
        <f t="shared" si="4"/>
        <v>8450124.2122053318</v>
      </c>
      <c r="N26" s="33">
        <v>8450404.2311684098</v>
      </c>
      <c r="O26" s="40">
        <v>0.33016000000000001</v>
      </c>
      <c r="P26" s="155" t="s">
        <v>536</v>
      </c>
      <c r="R26">
        <f t="shared" si="5"/>
        <v>20701226343668.82</v>
      </c>
      <c r="S26">
        <f t="shared" si="6"/>
        <v>10350613171834.41</v>
      </c>
      <c r="T26">
        <f t="shared" si="7"/>
        <v>8666794063800.3408</v>
      </c>
      <c r="U26">
        <f t="shared" si="8"/>
        <v>8666794063800.3408</v>
      </c>
      <c r="V26">
        <f t="shared" si="9"/>
        <v>8450124212205.332</v>
      </c>
      <c r="W26">
        <f t="shared" si="10"/>
        <v>8450404231168.4102</v>
      </c>
      <c r="Z26" s="32">
        <v>20.701226343668822</v>
      </c>
      <c r="AA26" s="32" t="str">
        <f t="shared" si="11"/>
        <v/>
      </c>
      <c r="AB26" s="32" t="e">
        <f t="shared" si="12"/>
        <v>#N/A</v>
      </c>
      <c r="AC26" s="32" t="e">
        <f t="shared" si="13"/>
        <v>#N/A</v>
      </c>
      <c r="AD26" s="32" t="e">
        <f t="shared" si="14"/>
        <v>#N/A</v>
      </c>
      <c r="AE26" s="32">
        <v>8.4504042311684096</v>
      </c>
    </row>
    <row r="27" spans="2:31" ht="15" x14ac:dyDescent="0.35">
      <c r="B27" t="str">
        <f t="shared" si="0"/>
        <v>iBoxx EUR Corporates Net Zero 2050 Paris-Aligned ESG Index23</v>
      </c>
      <c r="C27" t="s">
        <v>533</v>
      </c>
      <c r="D27" t="s">
        <v>163</v>
      </c>
      <c r="E27" t="s">
        <v>534</v>
      </c>
      <c r="F27">
        <v>23</v>
      </c>
      <c r="G27" t="s">
        <v>535</v>
      </c>
      <c r="H27" s="26">
        <v>44196</v>
      </c>
      <c r="I27" s="33">
        <v>20711407.453518882</v>
      </c>
      <c r="J27" s="33">
        <f t="shared" si="1"/>
        <v>10355703.726759441</v>
      </c>
      <c r="K27" s="33">
        <f t="shared" si="2"/>
        <v>8614539.2924440075</v>
      </c>
      <c r="L27" s="33">
        <f t="shared" si="3"/>
        <v>8614539.2924440075</v>
      </c>
      <c r="M27" s="33">
        <f t="shared" si="4"/>
        <v>8399175.8101329077</v>
      </c>
      <c r="N27" s="33">
        <v>8398480.0238765497</v>
      </c>
      <c r="O27" s="40">
        <v>0.32873000000000002</v>
      </c>
      <c r="P27" s="155" t="s">
        <v>536</v>
      </c>
      <c r="R27">
        <f t="shared" si="5"/>
        <v>20711407453518.883</v>
      </c>
      <c r="S27">
        <f t="shared" si="6"/>
        <v>10355703726759.441</v>
      </c>
      <c r="T27">
        <f t="shared" si="7"/>
        <v>8614539292444.0078</v>
      </c>
      <c r="U27">
        <f t="shared" si="8"/>
        <v>8614539292444.0078</v>
      </c>
      <c r="V27">
        <f t="shared" si="9"/>
        <v>8399175810132.9072</v>
      </c>
      <c r="W27">
        <f t="shared" si="10"/>
        <v>8398480023876.5498</v>
      </c>
      <c r="Z27" s="32">
        <v>20.711407453518881</v>
      </c>
      <c r="AA27" s="32" t="str">
        <f t="shared" si="11"/>
        <v/>
      </c>
      <c r="AB27" s="32" t="e">
        <f t="shared" si="12"/>
        <v>#N/A</v>
      </c>
      <c r="AC27" s="32" t="e">
        <f t="shared" si="13"/>
        <v>#N/A</v>
      </c>
      <c r="AD27" s="32" t="e">
        <f t="shared" si="14"/>
        <v>#N/A</v>
      </c>
      <c r="AE27" s="32">
        <v>8.3984800238765498</v>
      </c>
    </row>
    <row r="28" spans="2:31" ht="15" x14ac:dyDescent="0.35">
      <c r="B28" t="str">
        <f t="shared" si="0"/>
        <v>iBoxx EUR Corporates Net Zero 2050 Paris-Aligned ESG Index24</v>
      </c>
      <c r="C28" t="s">
        <v>533</v>
      </c>
      <c r="D28" t="s">
        <v>163</v>
      </c>
      <c r="E28" t="s">
        <v>534</v>
      </c>
      <c r="F28">
        <v>24</v>
      </c>
      <c r="G28" t="s">
        <v>535</v>
      </c>
      <c r="H28" s="26">
        <v>44227</v>
      </c>
      <c r="I28" s="33">
        <v>20241750.842795737</v>
      </c>
      <c r="J28" s="33">
        <f t="shared" si="1"/>
        <v>10120875.421397869</v>
      </c>
      <c r="K28" s="33">
        <f t="shared" si="2"/>
        <v>8562599.5812021084</v>
      </c>
      <c r="L28" s="33">
        <f t="shared" si="3"/>
        <v>8562599.5812021084</v>
      </c>
      <c r="M28" s="33">
        <f t="shared" si="4"/>
        <v>8348534.5916720554</v>
      </c>
      <c r="N28" s="33">
        <v>8346874.8691682993</v>
      </c>
      <c r="O28" s="40">
        <v>0.32791999999999999</v>
      </c>
      <c r="P28" s="155" t="s">
        <v>536</v>
      </c>
      <c r="R28">
        <f t="shared" si="5"/>
        <v>20241750842795.738</v>
      </c>
      <c r="S28">
        <f t="shared" si="6"/>
        <v>10120875421397.869</v>
      </c>
      <c r="T28">
        <f t="shared" si="7"/>
        <v>8562599581202.1084</v>
      </c>
      <c r="U28">
        <f t="shared" si="8"/>
        <v>8562599581202.1084</v>
      </c>
      <c r="V28">
        <f t="shared" si="9"/>
        <v>8348534591672.0557</v>
      </c>
      <c r="W28">
        <f t="shared" si="10"/>
        <v>8346874869168.2988</v>
      </c>
      <c r="Z28" s="32">
        <v>20.241750842795739</v>
      </c>
      <c r="AA28" s="32" t="str">
        <f t="shared" si="11"/>
        <v/>
      </c>
      <c r="AB28" s="32" t="e">
        <f t="shared" si="12"/>
        <v>#N/A</v>
      </c>
      <c r="AC28" s="32" t="e">
        <f t="shared" si="13"/>
        <v>#N/A</v>
      </c>
      <c r="AD28" s="32" t="e">
        <f t="shared" si="14"/>
        <v>#N/A</v>
      </c>
      <c r="AE28" s="32">
        <v>8.3468748691682997</v>
      </c>
    </row>
    <row r="29" spans="2:31" ht="15" x14ac:dyDescent="0.35">
      <c r="B29" t="str">
        <f t="shared" si="0"/>
        <v>iBoxx EUR Corporates Net Zero 2050 Paris-Aligned ESG Index25</v>
      </c>
      <c r="C29" t="s">
        <v>533</v>
      </c>
      <c r="D29" t="s">
        <v>163</v>
      </c>
      <c r="E29" t="s">
        <v>534</v>
      </c>
      <c r="F29">
        <v>25</v>
      </c>
      <c r="G29" t="s">
        <v>535</v>
      </c>
      <c r="H29" s="26">
        <v>44255</v>
      </c>
      <c r="I29" s="33">
        <v>20269057.90950904</v>
      </c>
      <c r="J29" s="33">
        <f t="shared" si="1"/>
        <v>10134528.95475452</v>
      </c>
      <c r="K29" s="33">
        <f t="shared" si="2"/>
        <v>8510973.0304801501</v>
      </c>
      <c r="L29" s="33">
        <f t="shared" si="3"/>
        <v>8510973.0304801501</v>
      </c>
      <c r="M29" s="33">
        <f t="shared" si="4"/>
        <v>8298198.7047181465</v>
      </c>
      <c r="N29" s="33">
        <v>8300536.3632608093</v>
      </c>
      <c r="O29" s="40">
        <v>0.32751000000000002</v>
      </c>
      <c r="P29" s="155" t="s">
        <v>536</v>
      </c>
      <c r="R29">
        <f t="shared" si="5"/>
        <v>20269057909509.039</v>
      </c>
      <c r="S29">
        <f t="shared" si="6"/>
        <v>10134528954754.52</v>
      </c>
      <c r="T29">
        <f t="shared" si="7"/>
        <v>8510973030480.1504</v>
      </c>
      <c r="U29">
        <f t="shared" si="8"/>
        <v>8510973030480.1504</v>
      </c>
      <c r="V29">
        <f t="shared" si="9"/>
        <v>8298198704718.1465</v>
      </c>
      <c r="W29">
        <f t="shared" si="10"/>
        <v>8300536363260.8096</v>
      </c>
      <c r="Z29" s="32">
        <v>20.269057909509041</v>
      </c>
      <c r="AA29" s="32" t="str">
        <f t="shared" si="11"/>
        <v/>
      </c>
      <c r="AB29" s="32" t="e">
        <f t="shared" si="12"/>
        <v>#N/A</v>
      </c>
      <c r="AC29" s="32" t="e">
        <f t="shared" si="13"/>
        <v>#N/A</v>
      </c>
      <c r="AD29" s="32" t="e">
        <f t="shared" si="14"/>
        <v>#N/A</v>
      </c>
      <c r="AE29" s="32">
        <v>8.3005363632608091</v>
      </c>
    </row>
    <row r="30" spans="2:31" ht="15" x14ac:dyDescent="0.35">
      <c r="B30" t="str">
        <f t="shared" si="0"/>
        <v>iBoxx EUR Corporates Net Zero 2050 Paris-Aligned ESG Index26</v>
      </c>
      <c r="C30" t="s">
        <v>533</v>
      </c>
      <c r="D30" t="s">
        <v>163</v>
      </c>
      <c r="E30" t="s">
        <v>534</v>
      </c>
      <c r="F30">
        <v>26</v>
      </c>
      <c r="G30" t="s">
        <v>535</v>
      </c>
      <c r="H30" s="26">
        <v>44286</v>
      </c>
      <c r="I30" s="33">
        <v>19793328.113908943</v>
      </c>
      <c r="J30" s="33">
        <f t="shared" si="1"/>
        <v>9896664.0569544714</v>
      </c>
      <c r="K30" s="33">
        <f t="shared" si="2"/>
        <v>8459657.752136888</v>
      </c>
      <c r="L30" s="33">
        <f t="shared" si="3"/>
        <v>8459657.752136888</v>
      </c>
      <c r="M30" s="33">
        <f t="shared" si="4"/>
        <v>8248166.3083334658</v>
      </c>
      <c r="N30" s="33">
        <v>8249533.0314710792</v>
      </c>
      <c r="O30" s="40">
        <v>0.32328000000000001</v>
      </c>
      <c r="P30" s="155" t="s">
        <v>536</v>
      </c>
      <c r="R30">
        <f t="shared" si="5"/>
        <v>19793328113908.941</v>
      </c>
      <c r="S30">
        <f t="shared" si="6"/>
        <v>9896664056954.4707</v>
      </c>
      <c r="T30">
        <f t="shared" si="7"/>
        <v>8459657752136.8877</v>
      </c>
      <c r="U30">
        <f t="shared" si="8"/>
        <v>8459657752136.8877</v>
      </c>
      <c r="V30">
        <f t="shared" si="9"/>
        <v>8248166308333.4658</v>
      </c>
      <c r="W30">
        <f t="shared" si="10"/>
        <v>8249533031471.0791</v>
      </c>
      <c r="Z30" s="32">
        <v>19.793328113908942</v>
      </c>
      <c r="AA30" s="32" t="str">
        <f t="shared" si="11"/>
        <v/>
      </c>
      <c r="AB30" s="32" t="e">
        <f t="shared" si="12"/>
        <v>#N/A</v>
      </c>
      <c r="AC30" s="32" t="e">
        <f t="shared" si="13"/>
        <v>#N/A</v>
      </c>
      <c r="AD30" s="32" t="e">
        <f t="shared" si="14"/>
        <v>#N/A</v>
      </c>
      <c r="AE30" s="32">
        <v>8.2495330314710795</v>
      </c>
    </row>
    <row r="31" spans="2:31" ht="15" x14ac:dyDescent="0.35">
      <c r="B31" t="str">
        <f t="shared" si="0"/>
        <v>iBoxx EUR Corporates Net Zero 2050 Paris-Aligned ESG Index27</v>
      </c>
      <c r="C31" t="s">
        <v>533</v>
      </c>
      <c r="D31" t="s">
        <v>163</v>
      </c>
      <c r="E31" t="s">
        <v>534</v>
      </c>
      <c r="F31">
        <v>27</v>
      </c>
      <c r="G31" t="s">
        <v>535</v>
      </c>
      <c r="H31" s="26">
        <v>44316</v>
      </c>
      <c r="I31" s="33">
        <v>19770371.722523771</v>
      </c>
      <c r="J31" s="33">
        <f t="shared" si="1"/>
        <v>9885185.8612618856</v>
      </c>
      <c r="K31" s="33">
        <f t="shared" si="2"/>
        <v>8408651.8694152553</v>
      </c>
      <c r="L31" s="33">
        <f t="shared" si="3"/>
        <v>8408651.8694152553</v>
      </c>
      <c r="M31" s="33">
        <f t="shared" si="4"/>
        <v>8198435.5726798736</v>
      </c>
      <c r="N31" s="33">
        <v>8200473.3812044999</v>
      </c>
      <c r="O31" s="40">
        <v>0.32473000000000002</v>
      </c>
      <c r="P31" s="155" t="s">
        <v>536</v>
      </c>
      <c r="R31">
        <f t="shared" si="5"/>
        <v>19770371722523.77</v>
      </c>
      <c r="S31">
        <f t="shared" si="6"/>
        <v>9885185861261.8848</v>
      </c>
      <c r="T31">
        <f t="shared" si="7"/>
        <v>8408651869415.2549</v>
      </c>
      <c r="U31">
        <f t="shared" si="8"/>
        <v>8408651869415.2549</v>
      </c>
      <c r="V31">
        <f t="shared" si="9"/>
        <v>8198435572679.874</v>
      </c>
      <c r="W31">
        <f t="shared" si="10"/>
        <v>8200473381204.5</v>
      </c>
      <c r="Z31" s="32">
        <v>19.77037172252377</v>
      </c>
      <c r="AA31" s="32" t="str">
        <f t="shared" si="11"/>
        <v/>
      </c>
      <c r="AB31" s="32" t="e">
        <f t="shared" si="12"/>
        <v>#N/A</v>
      </c>
      <c r="AC31" s="32" t="e">
        <f t="shared" si="13"/>
        <v>#N/A</v>
      </c>
      <c r="AD31" s="32" t="e">
        <f t="shared" si="14"/>
        <v>#N/A</v>
      </c>
      <c r="AE31" s="32">
        <v>8.2004733812044996</v>
      </c>
    </row>
    <row r="32" spans="2:31" ht="15" x14ac:dyDescent="0.35">
      <c r="B32" t="str">
        <f t="shared" si="0"/>
        <v>iBoxx EUR Corporates Net Zero 2050 Paris-Aligned ESG Index28</v>
      </c>
      <c r="C32" t="s">
        <v>533</v>
      </c>
      <c r="D32" t="s">
        <v>163</v>
      </c>
      <c r="E32" t="s">
        <v>534</v>
      </c>
      <c r="F32">
        <v>28</v>
      </c>
      <c r="G32" t="s">
        <v>535</v>
      </c>
      <c r="H32" s="26">
        <v>44347</v>
      </c>
      <c r="I32" s="33">
        <v>19799217.485038511</v>
      </c>
      <c r="J32" s="33">
        <f t="shared" si="1"/>
        <v>9899608.7425192557</v>
      </c>
      <c r="K32" s="33">
        <f t="shared" si="2"/>
        <v>8357953.5168737378</v>
      </c>
      <c r="L32" s="33">
        <f t="shared" si="3"/>
        <v>8357953.5168737378</v>
      </c>
      <c r="M32" s="33">
        <f t="shared" si="4"/>
        <v>8149004.6789518939</v>
      </c>
      <c r="N32" s="33">
        <v>8150084.8946790397</v>
      </c>
      <c r="O32" s="40">
        <v>0.32440999999999998</v>
      </c>
      <c r="P32" s="155" t="s">
        <v>536</v>
      </c>
      <c r="R32">
        <f t="shared" si="5"/>
        <v>19799217485038.512</v>
      </c>
      <c r="S32">
        <f t="shared" si="6"/>
        <v>9899608742519.2559</v>
      </c>
      <c r="T32">
        <f t="shared" si="7"/>
        <v>8357953516873.7383</v>
      </c>
      <c r="U32">
        <f t="shared" si="8"/>
        <v>8357953516873.7383</v>
      </c>
      <c r="V32">
        <f t="shared" si="9"/>
        <v>8149004678951.8936</v>
      </c>
      <c r="W32">
        <f t="shared" si="10"/>
        <v>8150084894679.04</v>
      </c>
      <c r="Z32" s="32">
        <v>19.799217485038511</v>
      </c>
      <c r="AA32" s="32" t="str">
        <f t="shared" si="11"/>
        <v/>
      </c>
      <c r="AB32" s="32" t="e">
        <f t="shared" si="12"/>
        <v>#N/A</v>
      </c>
      <c r="AC32" s="32" t="e">
        <f t="shared" si="13"/>
        <v>#N/A</v>
      </c>
      <c r="AD32" s="32" t="e">
        <f t="shared" si="14"/>
        <v>#N/A</v>
      </c>
      <c r="AE32" s="32">
        <v>8.1500848946790398</v>
      </c>
    </row>
    <row r="33" spans="2:31" ht="15" x14ac:dyDescent="0.35">
      <c r="B33" t="str">
        <f t="shared" si="0"/>
        <v>iBoxx EUR Corporates Net Zero 2050 Paris-Aligned ESG Index29</v>
      </c>
      <c r="C33" t="s">
        <v>533</v>
      </c>
      <c r="D33" t="s">
        <v>163</v>
      </c>
      <c r="E33" t="s">
        <v>534</v>
      </c>
      <c r="F33">
        <v>29</v>
      </c>
      <c r="G33" t="s">
        <v>535</v>
      </c>
      <c r="H33" s="26">
        <v>44377</v>
      </c>
      <c r="I33" s="33">
        <v>20164359.38018012</v>
      </c>
      <c r="J33" s="33">
        <f t="shared" si="1"/>
        <v>10082179.69009006</v>
      </c>
      <c r="K33" s="33">
        <f t="shared" si="2"/>
        <v>8307560.8403181368</v>
      </c>
      <c r="L33" s="33">
        <f t="shared" si="3"/>
        <v>8307560.8403181368</v>
      </c>
      <c r="M33" s="33">
        <f t="shared" si="4"/>
        <v>8099871.8193101836</v>
      </c>
      <c r="N33" s="33">
        <v>8101616.6585921906</v>
      </c>
      <c r="O33" s="40">
        <v>0.32179000000000002</v>
      </c>
      <c r="P33" s="155" t="s">
        <v>536</v>
      </c>
      <c r="R33">
        <f t="shared" si="5"/>
        <v>20164359380180.121</v>
      </c>
      <c r="S33">
        <f t="shared" si="6"/>
        <v>10082179690090.061</v>
      </c>
      <c r="T33">
        <f t="shared" si="7"/>
        <v>8307560840318.1367</v>
      </c>
      <c r="U33">
        <f t="shared" si="8"/>
        <v>8307560840318.1367</v>
      </c>
      <c r="V33">
        <f t="shared" si="9"/>
        <v>8099871819310.1836</v>
      </c>
      <c r="W33">
        <f t="shared" si="10"/>
        <v>8101616658592.1904</v>
      </c>
      <c r="Z33" s="32">
        <v>20.16435938018012</v>
      </c>
      <c r="AA33" s="32" t="str">
        <f t="shared" si="11"/>
        <v/>
      </c>
      <c r="AB33" s="32" t="e">
        <f t="shared" si="12"/>
        <v>#N/A</v>
      </c>
      <c r="AC33" s="32" t="e">
        <f t="shared" si="13"/>
        <v>#N/A</v>
      </c>
      <c r="AD33" s="32" t="e">
        <f t="shared" si="14"/>
        <v>#N/A</v>
      </c>
      <c r="AE33" s="32">
        <v>8.1016166585921905</v>
      </c>
    </row>
    <row r="34" spans="2:31" ht="15" x14ac:dyDescent="0.35">
      <c r="B34" t="str">
        <f t="shared" si="0"/>
        <v>iBoxx EUR Corporates Net Zero 2050 Paris-Aligned ESG Index30</v>
      </c>
      <c r="C34" t="s">
        <v>533</v>
      </c>
      <c r="D34" t="s">
        <v>163</v>
      </c>
      <c r="E34" t="s">
        <v>534</v>
      </c>
      <c r="F34">
        <v>30</v>
      </c>
      <c r="G34" t="s">
        <v>535</v>
      </c>
      <c r="H34" s="26">
        <v>44408</v>
      </c>
      <c r="I34" s="33">
        <v>20388618.84616239</v>
      </c>
      <c r="J34" s="33">
        <f t="shared" si="1"/>
        <v>10194309.423081195</v>
      </c>
      <c r="K34" s="33">
        <f t="shared" si="2"/>
        <v>8257471.996733767</v>
      </c>
      <c r="L34" s="33">
        <f t="shared" si="3"/>
        <v>8257471.996733767</v>
      </c>
      <c r="M34" s="33"/>
      <c r="N34" s="33">
        <v>8051835.6053700605</v>
      </c>
      <c r="O34" s="40">
        <v>0.32040999999999997</v>
      </c>
      <c r="P34" s="155" t="s">
        <v>536</v>
      </c>
      <c r="R34">
        <f t="shared" si="5"/>
        <v>20388618846162.391</v>
      </c>
      <c r="S34">
        <f t="shared" si="6"/>
        <v>10194309423081.195</v>
      </c>
      <c r="T34">
        <f t="shared" si="7"/>
        <v>8257471996733.7666</v>
      </c>
      <c r="U34">
        <f t="shared" si="8"/>
        <v>8257471996733.7666</v>
      </c>
      <c r="V34">
        <f t="shared" si="9"/>
        <v>0</v>
      </c>
      <c r="W34">
        <f t="shared" si="10"/>
        <v>8051835605370.0605</v>
      </c>
      <c r="Z34" s="32">
        <v>20.388618846162391</v>
      </c>
      <c r="AA34" s="32" t="str">
        <f t="shared" si="11"/>
        <v/>
      </c>
      <c r="AB34" s="32" t="e">
        <f t="shared" si="12"/>
        <v>#N/A</v>
      </c>
      <c r="AC34" s="32" t="e">
        <f t="shared" si="13"/>
        <v>#N/A</v>
      </c>
      <c r="AD34" s="32" t="e">
        <f t="shared" si="14"/>
        <v>#N/A</v>
      </c>
      <c r="AE34" s="32">
        <v>8.0518356053700604</v>
      </c>
    </row>
    <row r="35" spans="2:31" ht="15" x14ac:dyDescent="0.35">
      <c r="B35" t="str">
        <f t="shared" ref="B35:B66" si="15">_xlfn.CONCAT(C35,F35)</f>
        <v>iBoxx EUR Corporates Net Zero 2050 Paris-Aligned ESG Index31</v>
      </c>
      <c r="C35" t="s">
        <v>533</v>
      </c>
      <c r="D35" t="s">
        <v>163</v>
      </c>
      <c r="E35" t="s">
        <v>534</v>
      </c>
      <c r="F35">
        <v>31</v>
      </c>
      <c r="G35" t="s">
        <v>535</v>
      </c>
      <c r="H35" s="26">
        <v>44439</v>
      </c>
      <c r="I35" s="33">
        <v>20716261.72077208</v>
      </c>
      <c r="J35" s="33">
        <f t="shared" si="1"/>
        <v>10358130.86038604</v>
      </c>
      <c r="K35" s="33">
        <f t="shared" si="2"/>
        <v>8207685.1542180423</v>
      </c>
      <c r="L35" s="33">
        <f t="shared" si="3"/>
        <v>8207685.1542180423</v>
      </c>
      <c r="M35" s="33">
        <f t="shared" si="4"/>
        <v>8002493.0253625913</v>
      </c>
      <c r="N35" s="33">
        <v>8002360.4359443001</v>
      </c>
      <c r="O35" s="40">
        <v>0.32230999999999999</v>
      </c>
      <c r="P35" s="155" t="s">
        <v>536</v>
      </c>
      <c r="R35">
        <f t="shared" si="5"/>
        <v>20716261720772.082</v>
      </c>
      <c r="S35">
        <f t="shared" si="6"/>
        <v>10358130860386.041</v>
      </c>
      <c r="T35">
        <f t="shared" si="7"/>
        <v>8207685154218.042</v>
      </c>
      <c r="U35">
        <f t="shared" si="8"/>
        <v>8207685154218.042</v>
      </c>
      <c r="V35">
        <f t="shared" si="9"/>
        <v>8002493025362.5908</v>
      </c>
      <c r="W35">
        <f t="shared" si="10"/>
        <v>8002360435944.2998</v>
      </c>
      <c r="Z35" s="32">
        <v>20.716261720772081</v>
      </c>
      <c r="AA35" s="32" t="str">
        <f t="shared" si="11"/>
        <v/>
      </c>
      <c r="AB35" s="32" t="e">
        <f t="shared" si="12"/>
        <v>#N/A</v>
      </c>
      <c r="AC35" s="32" t="e">
        <f t="shared" si="13"/>
        <v>#N/A</v>
      </c>
      <c r="AD35" s="32" t="e">
        <f t="shared" si="14"/>
        <v>#N/A</v>
      </c>
      <c r="AE35" s="32">
        <v>8.0023604359443006</v>
      </c>
    </row>
    <row r="36" spans="2:31" ht="15" x14ac:dyDescent="0.35">
      <c r="B36" t="str">
        <f t="shared" si="15"/>
        <v>iBoxx EUR Corporates Net Zero 2050 Paris-Aligned ESG Index32</v>
      </c>
      <c r="C36" t="s">
        <v>533</v>
      </c>
      <c r="D36" t="s">
        <v>163</v>
      </c>
      <c r="E36" t="s">
        <v>534</v>
      </c>
      <c r="F36">
        <v>32</v>
      </c>
      <c r="G36" t="s">
        <v>535</v>
      </c>
      <c r="H36" s="26">
        <v>44469</v>
      </c>
      <c r="I36" s="33">
        <v>20742567.499110032</v>
      </c>
      <c r="J36" s="33">
        <f t="shared" ref="J36:J67" si="16">IF(G36="PA",I36*0.5,IF(G36="CT",I36*0.7,""))</f>
        <v>10371283.749555016</v>
      </c>
      <c r="K36" s="33">
        <f t="shared" ref="K36:K67" si="17">VLOOKUP(C36,$C:$K,8,FALSE)*0.93^(F36/12)</f>
        <v>8158198.4919134863</v>
      </c>
      <c r="L36" s="33">
        <f t="shared" ref="L36:L67" si="18">MIN(J36,K36)</f>
        <v>8158198.4919134863</v>
      </c>
      <c r="M36" s="33">
        <f t="shared" ref="M36:M67" si="19">L36*0.975</f>
        <v>7954243.529615649</v>
      </c>
      <c r="N36" s="33">
        <v>7954770.71143544</v>
      </c>
      <c r="O36" s="40">
        <v>0.32501000000000002</v>
      </c>
      <c r="P36" s="155" t="s">
        <v>536</v>
      </c>
      <c r="R36">
        <f t="shared" ref="R36:R67" si="20">I36*1000000</f>
        <v>20742567499110.031</v>
      </c>
      <c r="S36">
        <f t="shared" ref="S36:S67" si="21">J36*1000000</f>
        <v>10371283749555.016</v>
      </c>
      <c r="T36">
        <f t="shared" ref="T36:T67" si="22">K36*1000000</f>
        <v>8158198491913.4863</v>
      </c>
      <c r="U36">
        <f t="shared" ref="U36:U67" si="23">L36*1000000</f>
        <v>8158198491913.4863</v>
      </c>
      <c r="V36">
        <f t="shared" ref="V36:V67" si="24">M36*1000000</f>
        <v>7954243529615.6494</v>
      </c>
      <c r="W36">
        <f t="shared" ref="W36:W67" si="25">N36*1000000</f>
        <v>7954770711435.4404</v>
      </c>
      <c r="Z36" s="32">
        <v>20.742567499110031</v>
      </c>
      <c r="AA36" s="32" t="str">
        <f t="shared" ref="AA36:AA67" si="26">IF(X36="PA",Z36*0.5,IF(X36="CT",Z36*0.7,""))</f>
        <v/>
      </c>
      <c r="AB36" s="32" t="e">
        <f t="shared" ref="AB36:AB67" si="27">VLOOKUP(T36,$C:$K,8,FALSE)*0.93^(W36/12)</f>
        <v>#N/A</v>
      </c>
      <c r="AC36" s="32" t="e">
        <f t="shared" ref="AC36:AC67" si="28">MIN(AA36,AB36)</f>
        <v>#N/A</v>
      </c>
      <c r="AD36" s="32" t="e">
        <f t="shared" ref="AD36:AD67" si="29">AC36*0.975</f>
        <v>#N/A</v>
      </c>
      <c r="AE36" s="32">
        <v>7.9547707114354402</v>
      </c>
    </row>
    <row r="37" spans="2:31" ht="15" x14ac:dyDescent="0.35">
      <c r="B37" t="str">
        <f t="shared" si="15"/>
        <v>iBoxx EUR Corporates Net Zero 2050 Paris-Aligned ESG Index33</v>
      </c>
      <c r="C37" t="s">
        <v>533</v>
      </c>
      <c r="D37" t="s">
        <v>163</v>
      </c>
      <c r="E37" t="s">
        <v>534</v>
      </c>
      <c r="F37">
        <v>33</v>
      </c>
      <c r="G37" t="s">
        <v>535</v>
      </c>
      <c r="H37" s="26">
        <v>44500</v>
      </c>
      <c r="I37" s="33">
        <v>20872931.998104762</v>
      </c>
      <c r="J37" s="33">
        <f t="shared" si="16"/>
        <v>10436465.999052381</v>
      </c>
      <c r="K37" s="33">
        <f t="shared" si="17"/>
        <v>8109010.1999411276</v>
      </c>
      <c r="L37" s="33">
        <f t="shared" si="18"/>
        <v>8109010.1999411276</v>
      </c>
      <c r="M37" s="33">
        <f t="shared" si="19"/>
        <v>7906284.9449425992</v>
      </c>
      <c r="N37" s="33">
        <v>7905891.9652736308</v>
      </c>
      <c r="O37" s="40">
        <v>0.32694000000000001</v>
      </c>
      <c r="P37" s="155" t="s">
        <v>536</v>
      </c>
      <c r="R37">
        <f t="shared" si="20"/>
        <v>20872931998104.762</v>
      </c>
      <c r="S37">
        <f t="shared" si="21"/>
        <v>10436465999052.381</v>
      </c>
      <c r="T37">
        <f t="shared" si="22"/>
        <v>8109010199941.1279</v>
      </c>
      <c r="U37">
        <f t="shared" si="23"/>
        <v>8109010199941.1279</v>
      </c>
      <c r="V37">
        <f t="shared" si="24"/>
        <v>7906284944942.5996</v>
      </c>
      <c r="W37">
        <f t="shared" si="25"/>
        <v>7905891965273.6309</v>
      </c>
      <c r="Z37" s="32">
        <v>20.872931998104761</v>
      </c>
      <c r="AA37" s="32" t="str">
        <f t="shared" si="26"/>
        <v/>
      </c>
      <c r="AB37" s="32" t="e">
        <f t="shared" si="27"/>
        <v>#N/A</v>
      </c>
      <c r="AC37" s="32" t="e">
        <f t="shared" si="28"/>
        <v>#N/A</v>
      </c>
      <c r="AD37" s="32" t="e">
        <f t="shared" si="29"/>
        <v>#N/A</v>
      </c>
      <c r="AE37" s="32">
        <v>7.9058919652736304</v>
      </c>
    </row>
    <row r="38" spans="2:31" ht="15" x14ac:dyDescent="0.35">
      <c r="B38" t="str">
        <f t="shared" si="15"/>
        <v>iBoxx EUR Corporates Net Zero 2050 Paris-Aligned ESG Index34</v>
      </c>
      <c r="C38" t="s">
        <v>533</v>
      </c>
      <c r="D38" t="s">
        <v>163</v>
      </c>
      <c r="E38" t="s">
        <v>534</v>
      </c>
      <c r="F38">
        <v>34</v>
      </c>
      <c r="G38" t="s">
        <v>535</v>
      </c>
      <c r="H38" s="26">
        <v>44530</v>
      </c>
      <c r="I38" s="33">
        <v>20986012.164919261</v>
      </c>
      <c r="J38" s="33">
        <f t="shared" si="16"/>
        <v>10493006.08245963</v>
      </c>
      <c r="K38" s="33">
        <f t="shared" si="17"/>
        <v>8060118.4793343171</v>
      </c>
      <c r="L38" s="33">
        <f t="shared" si="18"/>
        <v>8060118.4793343171</v>
      </c>
      <c r="M38" s="33">
        <f t="shared" si="19"/>
        <v>7858615.5173509587</v>
      </c>
      <c r="N38" s="33">
        <v>7858875.9349866295</v>
      </c>
      <c r="O38" s="40">
        <v>0.32924999999999999</v>
      </c>
      <c r="P38" s="155" t="s">
        <v>536</v>
      </c>
      <c r="R38">
        <f t="shared" si="20"/>
        <v>20986012164919.262</v>
      </c>
      <c r="S38">
        <f t="shared" si="21"/>
        <v>10493006082459.631</v>
      </c>
      <c r="T38">
        <f t="shared" si="22"/>
        <v>8060118479334.3174</v>
      </c>
      <c r="U38">
        <f t="shared" si="23"/>
        <v>8060118479334.3174</v>
      </c>
      <c r="V38">
        <f t="shared" si="24"/>
        <v>7858615517350.959</v>
      </c>
      <c r="W38">
        <f t="shared" si="25"/>
        <v>7858875934986.6299</v>
      </c>
      <c r="Z38" s="32">
        <v>20.986012164919259</v>
      </c>
      <c r="AA38" s="32" t="str">
        <f t="shared" si="26"/>
        <v/>
      </c>
      <c r="AB38" s="32" t="e">
        <f t="shared" si="27"/>
        <v>#N/A</v>
      </c>
      <c r="AC38" s="32" t="e">
        <f t="shared" si="28"/>
        <v>#N/A</v>
      </c>
      <c r="AD38" s="32" t="e">
        <f t="shared" si="29"/>
        <v>#N/A</v>
      </c>
      <c r="AE38" s="32">
        <v>7.8588759349866297</v>
      </c>
    </row>
    <row r="39" spans="2:31" ht="15" x14ac:dyDescent="0.35">
      <c r="B39" t="str">
        <f t="shared" si="15"/>
        <v>iBoxx EUR Corporates Net Zero 2050 Paris-Aligned ESG Index35</v>
      </c>
      <c r="C39" t="s">
        <v>533</v>
      </c>
      <c r="D39" t="s">
        <v>163</v>
      </c>
      <c r="E39" t="s">
        <v>534</v>
      </c>
      <c r="F39">
        <v>35</v>
      </c>
      <c r="G39" t="s">
        <v>535</v>
      </c>
      <c r="H39" s="26">
        <v>44561</v>
      </c>
      <c r="I39" s="33">
        <v>21013801.966441497</v>
      </c>
      <c r="J39" s="33">
        <f t="shared" si="16"/>
        <v>10506900.983220749</v>
      </c>
      <c r="K39" s="33">
        <f t="shared" si="17"/>
        <v>8011521.5419729277</v>
      </c>
      <c r="L39" s="33">
        <f t="shared" si="18"/>
        <v>8011521.5419729277</v>
      </c>
      <c r="M39" s="33">
        <f t="shared" si="19"/>
        <v>7811233.5034236042</v>
      </c>
      <c r="N39" s="33">
        <v>7810586.4222051902</v>
      </c>
      <c r="O39" s="40">
        <v>0.32774999999999999</v>
      </c>
      <c r="P39" s="155" t="s">
        <v>536</v>
      </c>
      <c r="R39">
        <f t="shared" si="20"/>
        <v>21013801966441.496</v>
      </c>
      <c r="S39">
        <f t="shared" si="21"/>
        <v>10506900983220.748</v>
      </c>
      <c r="T39">
        <f t="shared" si="22"/>
        <v>8011521541972.9277</v>
      </c>
      <c r="U39">
        <f t="shared" si="23"/>
        <v>8011521541972.9277</v>
      </c>
      <c r="V39">
        <f t="shared" si="24"/>
        <v>7811233503423.6045</v>
      </c>
      <c r="W39">
        <f t="shared" si="25"/>
        <v>7810586422205.1904</v>
      </c>
      <c r="Z39" s="32">
        <v>21.013801966441498</v>
      </c>
      <c r="AA39" s="32" t="str">
        <f t="shared" si="26"/>
        <v/>
      </c>
      <c r="AB39" s="32" t="e">
        <f t="shared" si="27"/>
        <v>#N/A</v>
      </c>
      <c r="AC39" s="32" t="e">
        <f t="shared" si="28"/>
        <v>#N/A</v>
      </c>
      <c r="AD39" s="32" t="e">
        <f t="shared" si="29"/>
        <v>#N/A</v>
      </c>
      <c r="AE39" s="32">
        <v>7.8105864222051897</v>
      </c>
    </row>
    <row r="40" spans="2:31" ht="15" x14ac:dyDescent="0.35">
      <c r="B40" t="str">
        <f t="shared" si="15"/>
        <v>iBoxx EUR Corporates Net Zero 2050 Paris-Aligned ESG Index36</v>
      </c>
      <c r="C40" t="s">
        <v>533</v>
      </c>
      <c r="D40" t="s">
        <v>163</v>
      </c>
      <c r="E40" t="s">
        <v>534</v>
      </c>
      <c r="F40">
        <v>36</v>
      </c>
      <c r="G40" t="s">
        <v>535</v>
      </c>
      <c r="H40" s="26">
        <v>44592</v>
      </c>
      <c r="I40" s="33">
        <v>19812670.059045162</v>
      </c>
      <c r="J40" s="33">
        <f t="shared" si="16"/>
        <v>9906335.029522581</v>
      </c>
      <c r="K40" s="33">
        <f t="shared" si="17"/>
        <v>7963217.61051796</v>
      </c>
      <c r="L40" s="33">
        <f t="shared" si="18"/>
        <v>7963217.61051796</v>
      </c>
      <c r="M40" s="33">
        <f t="shared" si="19"/>
        <v>7764137.1702550109</v>
      </c>
      <c r="N40" s="33">
        <v>7584737.7461515004</v>
      </c>
      <c r="O40" s="40">
        <v>0.32738</v>
      </c>
      <c r="P40" s="155" t="s">
        <v>536</v>
      </c>
      <c r="R40">
        <f t="shared" si="20"/>
        <v>19812670059045.16</v>
      </c>
      <c r="S40">
        <f t="shared" si="21"/>
        <v>9906335029522.5801</v>
      </c>
      <c r="T40">
        <f t="shared" si="22"/>
        <v>7963217610517.96</v>
      </c>
      <c r="U40">
        <f t="shared" si="23"/>
        <v>7963217610517.96</v>
      </c>
      <c r="V40">
        <f t="shared" si="24"/>
        <v>7764137170255.0107</v>
      </c>
      <c r="W40">
        <f t="shared" si="25"/>
        <v>7584737746151.5</v>
      </c>
      <c r="Z40" s="32">
        <v>19.812670059045161</v>
      </c>
      <c r="AA40" s="32" t="str">
        <f t="shared" si="26"/>
        <v/>
      </c>
      <c r="AB40" s="32" t="e">
        <f t="shared" si="27"/>
        <v>#N/A</v>
      </c>
      <c r="AC40" s="32" t="e">
        <f t="shared" si="28"/>
        <v>#N/A</v>
      </c>
      <c r="AD40" s="32" t="e">
        <f t="shared" si="29"/>
        <v>#N/A</v>
      </c>
      <c r="AE40" s="32">
        <v>7.5847377461515002</v>
      </c>
    </row>
    <row r="41" spans="2:31" ht="15" x14ac:dyDescent="0.35">
      <c r="B41" t="str">
        <f t="shared" si="15"/>
        <v>iBoxx EUR Corporates Net Zero 2050 Paris-Aligned ESG Index37</v>
      </c>
      <c r="C41" t="s">
        <v>533</v>
      </c>
      <c r="D41" t="s">
        <v>163</v>
      </c>
      <c r="E41" t="s">
        <v>534</v>
      </c>
      <c r="F41">
        <v>37</v>
      </c>
      <c r="G41" t="s">
        <v>535</v>
      </c>
      <c r="H41" s="26">
        <v>44620</v>
      </c>
      <c r="I41" s="33">
        <v>19845488.290491201</v>
      </c>
      <c r="J41" s="33">
        <f t="shared" si="16"/>
        <v>9922744.1452456005</v>
      </c>
      <c r="K41" s="33">
        <f t="shared" si="17"/>
        <v>7915204.9183465401</v>
      </c>
      <c r="L41" s="33">
        <f t="shared" si="18"/>
        <v>7915204.9183465401</v>
      </c>
      <c r="M41" s="33">
        <f t="shared" si="19"/>
        <v>7717324.7953878762</v>
      </c>
      <c r="N41" s="33">
        <v>7682055.8403063994</v>
      </c>
      <c r="O41" s="40">
        <v>0.33107999999999999</v>
      </c>
      <c r="P41" s="155" t="s">
        <v>536</v>
      </c>
      <c r="R41">
        <f t="shared" si="20"/>
        <v>19845488290491.199</v>
      </c>
      <c r="S41">
        <f t="shared" si="21"/>
        <v>9922744145245.5996</v>
      </c>
      <c r="T41">
        <f t="shared" si="22"/>
        <v>7915204918346.54</v>
      </c>
      <c r="U41">
        <f t="shared" si="23"/>
        <v>7915204918346.54</v>
      </c>
      <c r="V41">
        <f t="shared" si="24"/>
        <v>7717324795387.876</v>
      </c>
      <c r="W41">
        <f t="shared" si="25"/>
        <v>7682055840306.3994</v>
      </c>
      <c r="Z41" s="32">
        <v>19.8454882904912</v>
      </c>
      <c r="AA41" s="32" t="str">
        <f t="shared" si="26"/>
        <v/>
      </c>
      <c r="AB41" s="32" t="e">
        <f t="shared" si="27"/>
        <v>#N/A</v>
      </c>
      <c r="AC41" s="32" t="e">
        <f t="shared" si="28"/>
        <v>#N/A</v>
      </c>
      <c r="AD41" s="32" t="e">
        <f t="shared" si="29"/>
        <v>#N/A</v>
      </c>
      <c r="AE41" s="32">
        <v>7.6820558403063997</v>
      </c>
    </row>
    <row r="42" spans="2:31" ht="15" x14ac:dyDescent="0.35">
      <c r="B42" t="str">
        <f t="shared" si="15"/>
        <v>iBoxx EUR Corporates Net Zero 2050 Paris-Aligned ESG Index38</v>
      </c>
      <c r="C42" t="s">
        <v>533</v>
      </c>
      <c r="D42" t="s">
        <v>163</v>
      </c>
      <c r="E42" t="s">
        <v>534</v>
      </c>
      <c r="F42">
        <v>38</v>
      </c>
      <c r="G42" t="s">
        <v>535</v>
      </c>
      <c r="H42" s="26">
        <v>44651</v>
      </c>
      <c r="I42" s="33">
        <v>18316257.897499859</v>
      </c>
      <c r="J42" s="33">
        <f t="shared" si="16"/>
        <v>9158128.9487499297</v>
      </c>
      <c r="K42" s="33">
        <f t="shared" si="17"/>
        <v>7867481.709487306</v>
      </c>
      <c r="L42" s="33">
        <f t="shared" si="18"/>
        <v>7867481.709487306</v>
      </c>
      <c r="M42" s="33">
        <f t="shared" si="19"/>
        <v>7670794.6667501228</v>
      </c>
      <c r="N42" s="33">
        <v>7560508.6353510702</v>
      </c>
      <c r="O42" s="40">
        <v>0.32765</v>
      </c>
      <c r="P42" s="155" t="s">
        <v>536</v>
      </c>
      <c r="R42">
        <f t="shared" si="20"/>
        <v>18316257897499.859</v>
      </c>
      <c r="S42">
        <f t="shared" si="21"/>
        <v>9158128948749.9297</v>
      </c>
      <c r="T42">
        <f t="shared" si="22"/>
        <v>7867481709487.3057</v>
      </c>
      <c r="U42">
        <f t="shared" si="23"/>
        <v>7867481709487.3057</v>
      </c>
      <c r="V42">
        <f t="shared" si="24"/>
        <v>7670794666750.123</v>
      </c>
      <c r="W42">
        <f t="shared" si="25"/>
        <v>7560508635351.0703</v>
      </c>
      <c r="Z42" s="32">
        <v>18.31625789749986</v>
      </c>
      <c r="AA42" s="32" t="str">
        <f t="shared" si="26"/>
        <v/>
      </c>
      <c r="AB42" s="32" t="e">
        <f t="shared" si="27"/>
        <v>#N/A</v>
      </c>
      <c r="AC42" s="32" t="e">
        <f t="shared" si="28"/>
        <v>#N/A</v>
      </c>
      <c r="AD42" s="32" t="e">
        <f t="shared" si="29"/>
        <v>#N/A</v>
      </c>
      <c r="AE42" s="32">
        <v>7.56050863535107</v>
      </c>
    </row>
    <row r="43" spans="2:31" ht="15" x14ac:dyDescent="0.35">
      <c r="B43" t="str">
        <f t="shared" si="15"/>
        <v>iBoxx EUR Corporates Net Zero 2050 Paris-Aligned ESG Index39</v>
      </c>
      <c r="C43" t="s">
        <v>533</v>
      </c>
      <c r="D43" t="s">
        <v>163</v>
      </c>
      <c r="E43" t="s">
        <v>534</v>
      </c>
      <c r="F43">
        <v>39</v>
      </c>
      <c r="G43" t="s">
        <v>535</v>
      </c>
      <c r="H43" s="26">
        <v>44681</v>
      </c>
      <c r="I43" s="33">
        <v>18280329.937827498</v>
      </c>
      <c r="J43" s="33">
        <f t="shared" si="16"/>
        <v>9140164.9689137489</v>
      </c>
      <c r="K43" s="33">
        <f t="shared" si="17"/>
        <v>7820046.2385561885</v>
      </c>
      <c r="L43" s="33">
        <f t="shared" si="18"/>
        <v>7820046.2385561885</v>
      </c>
      <c r="M43" s="33">
        <f t="shared" si="19"/>
        <v>7624545.0825922834</v>
      </c>
      <c r="N43" s="33">
        <v>7556014.9794487096</v>
      </c>
      <c r="O43" s="40">
        <v>0.32728000000000002</v>
      </c>
      <c r="P43" s="155" t="s">
        <v>536</v>
      </c>
      <c r="R43">
        <f t="shared" si="20"/>
        <v>18280329937827.496</v>
      </c>
      <c r="S43">
        <f t="shared" si="21"/>
        <v>9140164968913.748</v>
      </c>
      <c r="T43">
        <f t="shared" si="22"/>
        <v>7820046238556.1885</v>
      </c>
      <c r="U43">
        <f t="shared" si="23"/>
        <v>7820046238556.1885</v>
      </c>
      <c r="V43">
        <f t="shared" si="24"/>
        <v>7624545082592.2832</v>
      </c>
      <c r="W43">
        <f t="shared" si="25"/>
        <v>7556014979448.71</v>
      </c>
      <c r="Z43" s="32">
        <v>18.280329937827499</v>
      </c>
      <c r="AA43" s="32" t="str">
        <f t="shared" si="26"/>
        <v/>
      </c>
      <c r="AB43" s="32" t="e">
        <f t="shared" si="27"/>
        <v>#N/A</v>
      </c>
      <c r="AC43" s="32" t="e">
        <f t="shared" si="28"/>
        <v>#N/A</v>
      </c>
      <c r="AD43" s="32" t="e">
        <f t="shared" si="29"/>
        <v>#N/A</v>
      </c>
      <c r="AE43" s="32">
        <v>7.5560149794487099</v>
      </c>
    </row>
    <row r="44" spans="2:31" ht="15" x14ac:dyDescent="0.35">
      <c r="B44" t="str">
        <f t="shared" si="15"/>
        <v>iBoxx EUR Corporates Net Zero 2050 Paris-Aligned ESG Index40</v>
      </c>
      <c r="C44" t="s">
        <v>533</v>
      </c>
      <c r="D44" t="s">
        <v>163</v>
      </c>
      <c r="E44" t="s">
        <v>534</v>
      </c>
      <c r="F44">
        <v>40</v>
      </c>
      <c r="G44" t="s">
        <v>535</v>
      </c>
      <c r="H44" s="26">
        <v>44712</v>
      </c>
      <c r="I44" s="33">
        <v>17968750.9174532</v>
      </c>
      <c r="J44" s="33">
        <f t="shared" si="16"/>
        <v>8984375.4587265998</v>
      </c>
      <c r="K44" s="33">
        <f t="shared" si="17"/>
        <v>7772896.7706925767</v>
      </c>
      <c r="L44" s="33">
        <f t="shared" si="18"/>
        <v>7772896.7706925767</v>
      </c>
      <c r="M44" s="33">
        <f t="shared" si="19"/>
        <v>7578574.3514252622</v>
      </c>
      <c r="N44" s="33">
        <v>7523693.1498743799</v>
      </c>
      <c r="O44" s="40">
        <v>0.32622000000000001</v>
      </c>
      <c r="P44" s="155" t="s">
        <v>536</v>
      </c>
      <c r="R44">
        <f t="shared" si="20"/>
        <v>17968750917453.199</v>
      </c>
      <c r="S44">
        <f t="shared" si="21"/>
        <v>8984375458726.5996</v>
      </c>
      <c r="T44">
        <f t="shared" si="22"/>
        <v>7772896770692.5762</v>
      </c>
      <c r="U44">
        <f t="shared" si="23"/>
        <v>7772896770692.5762</v>
      </c>
      <c r="V44">
        <f t="shared" si="24"/>
        <v>7578574351425.2617</v>
      </c>
      <c r="W44">
        <f t="shared" si="25"/>
        <v>7523693149874.3799</v>
      </c>
      <c r="Z44" s="32">
        <v>17.9687509174532</v>
      </c>
      <c r="AA44" s="32" t="str">
        <f t="shared" si="26"/>
        <v/>
      </c>
      <c r="AB44" s="32" t="e">
        <f t="shared" si="27"/>
        <v>#N/A</v>
      </c>
      <c r="AC44" s="32" t="e">
        <f t="shared" si="28"/>
        <v>#N/A</v>
      </c>
      <c r="AD44" s="32" t="e">
        <f t="shared" si="29"/>
        <v>#N/A</v>
      </c>
      <c r="AE44" s="32">
        <v>7.5236931498743802</v>
      </c>
    </row>
    <row r="45" spans="2:31" ht="15" x14ac:dyDescent="0.35">
      <c r="B45" t="str">
        <f t="shared" si="15"/>
        <v>iBoxx EUR Corporates Net Zero 2050 Paris-Aligned ESG Index41</v>
      </c>
      <c r="C45" t="s">
        <v>533</v>
      </c>
      <c r="D45" t="s">
        <v>163</v>
      </c>
      <c r="E45" t="s">
        <v>534</v>
      </c>
      <c r="F45">
        <v>41</v>
      </c>
      <c r="G45" t="s">
        <v>535</v>
      </c>
      <c r="H45" s="26">
        <v>44742</v>
      </c>
      <c r="I45" s="33">
        <v>17989085.249663498</v>
      </c>
      <c r="J45" s="33">
        <f t="shared" si="16"/>
        <v>8994542.6248317491</v>
      </c>
      <c r="K45" s="33">
        <f t="shared" si="17"/>
        <v>7726031.581495868</v>
      </c>
      <c r="L45" s="33">
        <f t="shared" si="18"/>
        <v>7726031.581495868</v>
      </c>
      <c r="M45" s="33">
        <f t="shared" si="19"/>
        <v>7532880.7919584708</v>
      </c>
      <c r="N45" s="33">
        <v>7534503.4924907302</v>
      </c>
      <c r="O45" s="40">
        <v>0.32518999999999998</v>
      </c>
      <c r="P45" s="155" t="s">
        <v>536</v>
      </c>
      <c r="R45">
        <f t="shared" si="20"/>
        <v>17989085249663.5</v>
      </c>
      <c r="S45">
        <f t="shared" si="21"/>
        <v>8994542624831.75</v>
      </c>
      <c r="T45">
        <f t="shared" si="22"/>
        <v>7726031581495.8682</v>
      </c>
      <c r="U45">
        <f t="shared" si="23"/>
        <v>7726031581495.8682</v>
      </c>
      <c r="V45">
        <f t="shared" si="24"/>
        <v>7532880791958.4707</v>
      </c>
      <c r="W45">
        <f t="shared" si="25"/>
        <v>7534503492490.7305</v>
      </c>
      <c r="Z45" s="32">
        <v>17.9890852496635</v>
      </c>
      <c r="AA45" s="32" t="str">
        <f t="shared" si="26"/>
        <v/>
      </c>
      <c r="AB45" s="32" t="e">
        <f t="shared" si="27"/>
        <v>#N/A</v>
      </c>
      <c r="AC45" s="32" t="e">
        <f t="shared" si="28"/>
        <v>#N/A</v>
      </c>
      <c r="AD45" s="32" t="e">
        <f t="shared" si="29"/>
        <v>#N/A</v>
      </c>
      <c r="AE45" s="32">
        <v>7.5345034924907299</v>
      </c>
    </row>
    <row r="46" spans="2:31" ht="15" x14ac:dyDescent="0.35">
      <c r="B46" t="str">
        <f t="shared" si="15"/>
        <v>iBoxx EUR Corporates Net Zero 2050 Paris-Aligned ESG Index42</v>
      </c>
      <c r="C46" t="s">
        <v>533</v>
      </c>
      <c r="D46" t="s">
        <v>163</v>
      </c>
      <c r="E46" t="s">
        <v>534</v>
      </c>
      <c r="F46">
        <v>42</v>
      </c>
      <c r="G46" t="s">
        <v>535</v>
      </c>
      <c r="H46" s="26">
        <v>44773</v>
      </c>
      <c r="I46" s="33">
        <v>17994941.756294299</v>
      </c>
      <c r="J46" s="33">
        <f t="shared" si="16"/>
        <v>8997470.8781471495</v>
      </c>
      <c r="K46" s="33">
        <f t="shared" si="17"/>
        <v>7679448.9569624029</v>
      </c>
      <c r="L46" s="33">
        <f t="shared" si="18"/>
        <v>7679448.9569624029</v>
      </c>
      <c r="M46" s="33">
        <f t="shared" si="19"/>
        <v>7487462.7330383426</v>
      </c>
      <c r="N46" s="33">
        <v>7488207.1129941596</v>
      </c>
      <c r="O46" s="40">
        <v>0.33168999999999998</v>
      </c>
      <c r="P46" s="155" t="s">
        <v>536</v>
      </c>
      <c r="R46">
        <f t="shared" si="20"/>
        <v>17994941756294.301</v>
      </c>
      <c r="S46">
        <f t="shared" si="21"/>
        <v>8997470878147.1504</v>
      </c>
      <c r="T46">
        <f t="shared" si="22"/>
        <v>7679448956962.4033</v>
      </c>
      <c r="U46">
        <f t="shared" si="23"/>
        <v>7679448956962.4033</v>
      </c>
      <c r="V46">
        <f t="shared" si="24"/>
        <v>7487462733038.3428</v>
      </c>
      <c r="W46">
        <f t="shared" si="25"/>
        <v>7488207112994.1592</v>
      </c>
      <c r="Z46" s="32">
        <v>17.994941756294299</v>
      </c>
      <c r="AA46" s="32" t="str">
        <f t="shared" si="26"/>
        <v/>
      </c>
      <c r="AB46" s="32" t="e">
        <f t="shared" si="27"/>
        <v>#N/A</v>
      </c>
      <c r="AC46" s="32" t="e">
        <f t="shared" si="28"/>
        <v>#N/A</v>
      </c>
      <c r="AD46" s="32" t="e">
        <f t="shared" si="29"/>
        <v>#N/A</v>
      </c>
      <c r="AE46" s="32">
        <v>7.4882071129941599</v>
      </c>
    </row>
    <row r="47" spans="2:31" ht="15" x14ac:dyDescent="0.35">
      <c r="B47" t="str">
        <f t="shared" si="15"/>
        <v>iBoxx EUR Corporates Net Zero 2050 Paris-Aligned ESG Index43</v>
      </c>
      <c r="C47" t="s">
        <v>533</v>
      </c>
      <c r="D47" t="s">
        <v>163</v>
      </c>
      <c r="E47" t="s">
        <v>534</v>
      </c>
      <c r="F47">
        <v>43</v>
      </c>
      <c r="G47" t="s">
        <v>535</v>
      </c>
      <c r="H47" s="26">
        <v>44804</v>
      </c>
      <c r="I47" s="33">
        <v>18041090.358400002</v>
      </c>
      <c r="J47" s="33">
        <f t="shared" si="16"/>
        <v>9020545.1792000011</v>
      </c>
      <c r="K47" s="33">
        <f t="shared" si="17"/>
        <v>7633147.1934227794</v>
      </c>
      <c r="L47" s="33">
        <f t="shared" si="18"/>
        <v>7633147.1934227794</v>
      </c>
      <c r="M47" s="33">
        <f t="shared" si="19"/>
        <v>7442318.5135872094</v>
      </c>
      <c r="N47" s="33">
        <v>7442318.5136000002</v>
      </c>
      <c r="O47" s="27">
        <v>0.19938</v>
      </c>
      <c r="P47" s="155" t="s">
        <v>536</v>
      </c>
      <c r="R47">
        <f t="shared" si="20"/>
        <v>18041090358400.004</v>
      </c>
      <c r="S47">
        <f t="shared" si="21"/>
        <v>9020545179200.002</v>
      </c>
      <c r="T47">
        <f t="shared" si="22"/>
        <v>7633147193422.7793</v>
      </c>
      <c r="U47">
        <f t="shared" si="23"/>
        <v>7633147193422.7793</v>
      </c>
      <c r="V47">
        <f t="shared" si="24"/>
        <v>7442318513587.209</v>
      </c>
      <c r="W47">
        <f t="shared" si="25"/>
        <v>7442318513600</v>
      </c>
      <c r="Z47" s="32">
        <v>18.041090358400002</v>
      </c>
      <c r="AA47" s="32" t="str">
        <f t="shared" si="26"/>
        <v/>
      </c>
      <c r="AB47" s="32" t="e">
        <f t="shared" si="27"/>
        <v>#N/A</v>
      </c>
      <c r="AC47" s="32" t="e">
        <f t="shared" si="28"/>
        <v>#N/A</v>
      </c>
      <c r="AD47" s="32" t="e">
        <f t="shared" si="29"/>
        <v>#N/A</v>
      </c>
      <c r="AE47" s="32">
        <v>7.4423185136000001</v>
      </c>
    </row>
    <row r="48" spans="2:31" ht="15" x14ac:dyDescent="0.35">
      <c r="B48" t="str">
        <f t="shared" si="15"/>
        <v>iBoxx EUR Corporates Net Zero 2050 Paris-Aligned ESG Index44</v>
      </c>
      <c r="C48" t="s">
        <v>533</v>
      </c>
      <c r="D48" t="s">
        <v>163</v>
      </c>
      <c r="E48" t="s">
        <v>534</v>
      </c>
      <c r="F48">
        <v>44</v>
      </c>
      <c r="G48" t="s">
        <v>535</v>
      </c>
      <c r="H48" s="26">
        <v>44834</v>
      </c>
      <c r="I48" s="33">
        <v>18072577.070299998</v>
      </c>
      <c r="J48" s="33">
        <f t="shared" si="16"/>
        <v>9036288.535149999</v>
      </c>
      <c r="K48" s="33">
        <f t="shared" si="17"/>
        <v>7587124.5974795427</v>
      </c>
      <c r="L48" s="33">
        <f t="shared" si="18"/>
        <v>7587124.5974795427</v>
      </c>
      <c r="M48" s="33">
        <f t="shared" si="19"/>
        <v>7397446.4825425539</v>
      </c>
      <c r="N48" s="33">
        <v>7397446.4824999999</v>
      </c>
      <c r="O48" s="27">
        <v>0.21068999999999999</v>
      </c>
      <c r="P48" s="155" t="s">
        <v>536</v>
      </c>
      <c r="R48">
        <f t="shared" si="20"/>
        <v>18072577070299.996</v>
      </c>
      <c r="S48">
        <f t="shared" si="21"/>
        <v>9036288535149.998</v>
      </c>
      <c r="T48">
        <f t="shared" si="22"/>
        <v>7587124597479.543</v>
      </c>
      <c r="U48">
        <f t="shared" si="23"/>
        <v>7587124597479.543</v>
      </c>
      <c r="V48">
        <f t="shared" si="24"/>
        <v>7397446482542.5537</v>
      </c>
      <c r="W48">
        <f t="shared" si="25"/>
        <v>7397446482500</v>
      </c>
      <c r="Z48" s="32">
        <v>18.072577070299999</v>
      </c>
      <c r="AA48" s="32" t="str">
        <f t="shared" si="26"/>
        <v/>
      </c>
      <c r="AB48" s="32" t="e">
        <f t="shared" si="27"/>
        <v>#N/A</v>
      </c>
      <c r="AC48" s="32" t="e">
        <f t="shared" si="28"/>
        <v>#N/A</v>
      </c>
      <c r="AD48" s="32" t="e">
        <f t="shared" si="29"/>
        <v>#N/A</v>
      </c>
      <c r="AE48" s="32">
        <v>7.3974464825000004</v>
      </c>
    </row>
    <row r="49" spans="2:31" ht="15" x14ac:dyDescent="0.35">
      <c r="B49" t="str">
        <f t="shared" si="15"/>
        <v>iBoxx EUR Corporates Net Zero 2050 Paris-Aligned ESG Index45</v>
      </c>
      <c r="C49" t="s">
        <v>533</v>
      </c>
      <c r="D49" t="s">
        <v>163</v>
      </c>
      <c r="E49" t="s">
        <v>534</v>
      </c>
      <c r="F49">
        <v>45</v>
      </c>
      <c r="G49" t="s">
        <v>535</v>
      </c>
      <c r="H49" s="26">
        <v>44865</v>
      </c>
      <c r="I49" s="33">
        <v>17936008.662999999</v>
      </c>
      <c r="J49" s="33">
        <f t="shared" si="16"/>
        <v>8968004.3314999994</v>
      </c>
      <c r="K49" s="33">
        <f t="shared" si="17"/>
        <v>7541379.485945249</v>
      </c>
      <c r="L49" s="33">
        <f t="shared" si="18"/>
        <v>7541379.485945249</v>
      </c>
      <c r="M49" s="33">
        <f t="shared" si="19"/>
        <v>7352844.9987966176</v>
      </c>
      <c r="N49" s="33">
        <v>7352844.9988000002</v>
      </c>
      <c r="O49" s="27">
        <v>0.21751999999999999</v>
      </c>
      <c r="P49" s="155" t="s">
        <v>536</v>
      </c>
      <c r="R49">
        <f t="shared" si="20"/>
        <v>17936008663000</v>
      </c>
      <c r="S49">
        <f t="shared" si="21"/>
        <v>8968004331500</v>
      </c>
      <c r="T49">
        <f t="shared" si="22"/>
        <v>7541379485945.249</v>
      </c>
      <c r="U49">
        <f t="shared" si="23"/>
        <v>7541379485945.249</v>
      </c>
      <c r="V49">
        <f t="shared" si="24"/>
        <v>7352844998796.6172</v>
      </c>
      <c r="W49">
        <f t="shared" si="25"/>
        <v>7352844998800</v>
      </c>
      <c r="Z49" s="32">
        <v>17.936008662999999</v>
      </c>
      <c r="AA49" s="32" t="str">
        <f t="shared" si="26"/>
        <v/>
      </c>
      <c r="AB49" s="32" t="e">
        <f t="shared" si="27"/>
        <v>#N/A</v>
      </c>
      <c r="AC49" s="32" t="e">
        <f t="shared" si="28"/>
        <v>#N/A</v>
      </c>
      <c r="AD49" s="32" t="e">
        <f t="shared" si="29"/>
        <v>#N/A</v>
      </c>
      <c r="AE49" s="32">
        <v>7.3528449988000002</v>
      </c>
    </row>
    <row r="50" spans="2:31" ht="15" x14ac:dyDescent="0.35">
      <c r="B50" t="str">
        <f t="shared" si="15"/>
        <v>iBoxx EUR Corporates Net Zero 2050 Paris-Aligned ESG Index46</v>
      </c>
      <c r="C50" t="s">
        <v>533</v>
      </c>
      <c r="D50" t="s">
        <v>163</v>
      </c>
      <c r="E50" t="s">
        <v>534</v>
      </c>
      <c r="F50">
        <v>46</v>
      </c>
      <c r="G50" t="s">
        <v>535</v>
      </c>
      <c r="H50" s="26">
        <v>44895</v>
      </c>
      <c r="I50" s="33">
        <v>18242658.076099999</v>
      </c>
      <c r="J50" s="33">
        <f t="shared" si="16"/>
        <v>9121329.0380499996</v>
      </c>
      <c r="K50" s="33">
        <f t="shared" si="17"/>
        <v>7495910.1857809154</v>
      </c>
      <c r="L50" s="33">
        <f t="shared" si="18"/>
        <v>7495910.1857809154</v>
      </c>
      <c r="M50" s="33">
        <f t="shared" si="19"/>
        <v>7308512.4311363921</v>
      </c>
      <c r="N50" s="33">
        <v>7081172.6903999997</v>
      </c>
      <c r="O50" s="27">
        <v>0.21251</v>
      </c>
      <c r="P50" s="155" t="s">
        <v>536</v>
      </c>
      <c r="R50">
        <f t="shared" si="20"/>
        <v>18242658076100</v>
      </c>
      <c r="S50">
        <f t="shared" si="21"/>
        <v>9121329038050</v>
      </c>
      <c r="T50">
        <f t="shared" si="22"/>
        <v>7495910185780.915</v>
      </c>
      <c r="U50">
        <f t="shared" si="23"/>
        <v>7495910185780.915</v>
      </c>
      <c r="V50">
        <f t="shared" si="24"/>
        <v>7308512431136.3916</v>
      </c>
      <c r="W50">
        <f t="shared" si="25"/>
        <v>7081172690400</v>
      </c>
      <c r="Z50" s="32">
        <v>18.2426580761</v>
      </c>
      <c r="AA50" s="32" t="str">
        <f t="shared" si="26"/>
        <v/>
      </c>
      <c r="AB50" s="32" t="e">
        <f t="shared" si="27"/>
        <v>#N/A</v>
      </c>
      <c r="AC50" s="32" t="e">
        <f t="shared" si="28"/>
        <v>#N/A</v>
      </c>
      <c r="AD50" s="32" t="e">
        <f t="shared" si="29"/>
        <v>#N/A</v>
      </c>
      <c r="AE50" s="32">
        <v>7.0811726903999999</v>
      </c>
    </row>
    <row r="51" spans="2:31" ht="15" x14ac:dyDescent="0.35">
      <c r="B51" t="str">
        <f t="shared" si="15"/>
        <v>iBoxx EUR Corporates Net Zero 2050 Paris-Aligned ESG Index47</v>
      </c>
      <c r="C51" t="s">
        <v>533</v>
      </c>
      <c r="D51" t="s">
        <v>163</v>
      </c>
      <c r="E51" t="s">
        <v>534</v>
      </c>
      <c r="F51">
        <v>47</v>
      </c>
      <c r="G51" t="s">
        <v>535</v>
      </c>
      <c r="H51" s="26">
        <v>44926</v>
      </c>
      <c r="I51" s="33">
        <v>18531464.7885</v>
      </c>
      <c r="J51" s="33">
        <f t="shared" si="16"/>
        <v>9265732.3942499999</v>
      </c>
      <c r="K51" s="33">
        <f t="shared" si="17"/>
        <v>7450715.0340348231</v>
      </c>
      <c r="L51" s="33">
        <f t="shared" si="18"/>
        <v>7450715.0340348231</v>
      </c>
      <c r="M51" s="33">
        <f t="shared" si="19"/>
        <v>7264447.1581839519</v>
      </c>
      <c r="N51" s="33">
        <v>7201062.7582999999</v>
      </c>
      <c r="O51" s="27">
        <v>0.21704000000000001</v>
      </c>
      <c r="P51" s="155" t="s">
        <v>536</v>
      </c>
      <c r="R51">
        <f t="shared" si="20"/>
        <v>18531464788500</v>
      </c>
      <c r="S51">
        <f t="shared" si="21"/>
        <v>9265732394250</v>
      </c>
      <c r="T51">
        <f t="shared" si="22"/>
        <v>7450715034034.8232</v>
      </c>
      <c r="U51">
        <f t="shared" si="23"/>
        <v>7450715034034.8232</v>
      </c>
      <c r="V51">
        <f t="shared" si="24"/>
        <v>7264447158183.9521</v>
      </c>
      <c r="W51">
        <f t="shared" si="25"/>
        <v>7201062758300</v>
      </c>
      <c r="Z51" s="32">
        <v>18.531464788499999</v>
      </c>
      <c r="AA51" s="32" t="str">
        <f t="shared" si="26"/>
        <v/>
      </c>
      <c r="AB51" s="32" t="e">
        <f t="shared" si="27"/>
        <v>#N/A</v>
      </c>
      <c r="AC51" s="32" t="e">
        <f t="shared" si="28"/>
        <v>#N/A</v>
      </c>
      <c r="AD51" s="32" t="e">
        <f t="shared" si="29"/>
        <v>#N/A</v>
      </c>
      <c r="AE51" s="32">
        <v>7.2010627583</v>
      </c>
    </row>
    <row r="52" spans="2:31" ht="15" x14ac:dyDescent="0.35">
      <c r="B52" t="str">
        <f t="shared" si="15"/>
        <v>iBoxx EUR Corporates Net Zero 2050 Paris-Aligned ESG Index48</v>
      </c>
      <c r="C52" t="s">
        <v>533</v>
      </c>
      <c r="D52" t="s">
        <v>163</v>
      </c>
      <c r="E52" t="s">
        <v>534</v>
      </c>
      <c r="F52">
        <v>48</v>
      </c>
      <c r="G52" t="s">
        <v>535</v>
      </c>
      <c r="H52" s="26">
        <v>44957</v>
      </c>
      <c r="I52" s="33">
        <v>19109286.848099999</v>
      </c>
      <c r="J52" s="33">
        <f t="shared" si="16"/>
        <v>9554643.4240499996</v>
      </c>
      <c r="K52" s="33">
        <f t="shared" si="17"/>
        <v>7405792.3777817041</v>
      </c>
      <c r="L52" s="33">
        <f t="shared" si="18"/>
        <v>7405792.3777817041</v>
      </c>
      <c r="M52" s="33">
        <f t="shared" si="19"/>
        <v>7220647.5683371611</v>
      </c>
      <c r="N52" s="33">
        <v>7220647.5683000004</v>
      </c>
      <c r="O52" s="27">
        <v>0.22489999999999999</v>
      </c>
      <c r="P52" s="155" t="s">
        <v>536</v>
      </c>
      <c r="R52">
        <f t="shared" si="20"/>
        <v>19109286848100</v>
      </c>
      <c r="S52">
        <f t="shared" si="21"/>
        <v>9554643424050</v>
      </c>
      <c r="T52">
        <f t="shared" si="22"/>
        <v>7405792377781.7041</v>
      </c>
      <c r="U52">
        <f t="shared" si="23"/>
        <v>7405792377781.7041</v>
      </c>
      <c r="V52">
        <f t="shared" si="24"/>
        <v>7220647568337.1611</v>
      </c>
      <c r="W52">
        <f t="shared" si="25"/>
        <v>7220647568300</v>
      </c>
      <c r="Z52" s="32">
        <v>19.109286848099998</v>
      </c>
      <c r="AA52" s="32" t="str">
        <f t="shared" si="26"/>
        <v/>
      </c>
      <c r="AB52" s="32" t="e">
        <f t="shared" si="27"/>
        <v>#N/A</v>
      </c>
      <c r="AC52" s="32" t="e">
        <f t="shared" si="28"/>
        <v>#N/A</v>
      </c>
      <c r="AD52" s="32" t="e">
        <f t="shared" si="29"/>
        <v>#N/A</v>
      </c>
      <c r="AE52" s="32">
        <v>7.2206475683000004</v>
      </c>
    </row>
    <row r="53" spans="2:31" ht="15" x14ac:dyDescent="0.35">
      <c r="B53" t="str">
        <f t="shared" si="15"/>
        <v>iBoxx EUR Corporates Net Zero 2050 Paris-Aligned ESG Index49</v>
      </c>
      <c r="C53" t="s">
        <v>533</v>
      </c>
      <c r="D53" t="s">
        <v>163</v>
      </c>
      <c r="E53" t="s">
        <v>534</v>
      </c>
      <c r="F53">
        <v>49</v>
      </c>
      <c r="G53" t="s">
        <v>535</v>
      </c>
      <c r="H53" s="26">
        <v>44985</v>
      </c>
      <c r="I53" s="33">
        <v>18704255.013900001</v>
      </c>
      <c r="J53" s="33">
        <f t="shared" si="16"/>
        <v>9352127.5069500003</v>
      </c>
      <c r="K53" s="33">
        <f t="shared" si="17"/>
        <v>7361140.5740622841</v>
      </c>
      <c r="L53" s="33">
        <f t="shared" si="18"/>
        <v>7361140.5740622841</v>
      </c>
      <c r="M53" s="33">
        <f t="shared" si="19"/>
        <v>7177112.0597107271</v>
      </c>
      <c r="N53" s="33">
        <v>6855331.0147000002</v>
      </c>
      <c r="O53" s="27">
        <v>0.22495999999999999</v>
      </c>
      <c r="P53" s="155" t="s">
        <v>536</v>
      </c>
      <c r="R53">
        <f t="shared" si="20"/>
        <v>18704255013900</v>
      </c>
      <c r="S53">
        <f t="shared" si="21"/>
        <v>9352127506950</v>
      </c>
      <c r="T53">
        <f t="shared" si="22"/>
        <v>7361140574062.2842</v>
      </c>
      <c r="U53">
        <f t="shared" si="23"/>
        <v>7361140574062.2842</v>
      </c>
      <c r="V53">
        <f t="shared" si="24"/>
        <v>7177112059710.7275</v>
      </c>
      <c r="W53">
        <f t="shared" si="25"/>
        <v>6855331014700</v>
      </c>
      <c r="Z53" s="32">
        <v>18.704255013899999</v>
      </c>
      <c r="AA53" s="32" t="str">
        <f t="shared" si="26"/>
        <v/>
      </c>
      <c r="AB53" s="32" t="e">
        <f t="shared" si="27"/>
        <v>#N/A</v>
      </c>
      <c r="AC53" s="32" t="e">
        <f t="shared" si="28"/>
        <v>#N/A</v>
      </c>
      <c r="AD53" s="32" t="e">
        <f t="shared" si="29"/>
        <v>#N/A</v>
      </c>
      <c r="AE53" s="32">
        <v>6.8553310146999999</v>
      </c>
    </row>
    <row r="54" spans="2:31" ht="15" x14ac:dyDescent="0.35">
      <c r="B54" t="str">
        <f t="shared" si="15"/>
        <v>iBoxx EUR Corporates Net Zero 2050 Paris-Aligned ESG Index50</v>
      </c>
      <c r="C54" t="s">
        <v>533</v>
      </c>
      <c r="D54" t="s">
        <v>163</v>
      </c>
      <c r="E54" t="s">
        <v>534</v>
      </c>
      <c r="F54">
        <v>50</v>
      </c>
      <c r="G54" t="s">
        <v>535</v>
      </c>
      <c r="H54" s="26">
        <v>45016</v>
      </c>
      <c r="I54" s="33">
        <v>18444587.079800002</v>
      </c>
      <c r="J54" s="33">
        <f t="shared" si="16"/>
        <v>9222293.5399000011</v>
      </c>
      <c r="K54" s="33">
        <f t="shared" si="17"/>
        <v>7316757.9898231952</v>
      </c>
      <c r="L54" s="33">
        <f t="shared" si="18"/>
        <v>7316757.9898231952</v>
      </c>
      <c r="M54" s="33">
        <f t="shared" si="19"/>
        <v>7133839.0400776155</v>
      </c>
      <c r="N54" s="33">
        <v>6844704.1354999999</v>
      </c>
      <c r="O54" s="27">
        <v>0.22506000000000001</v>
      </c>
      <c r="P54" s="155" t="s">
        <v>536</v>
      </c>
      <c r="R54">
        <f t="shared" si="20"/>
        <v>18444587079800.004</v>
      </c>
      <c r="S54">
        <f t="shared" si="21"/>
        <v>9222293539900.002</v>
      </c>
      <c r="T54">
        <f t="shared" si="22"/>
        <v>7316757989823.1953</v>
      </c>
      <c r="U54">
        <f t="shared" si="23"/>
        <v>7316757989823.1953</v>
      </c>
      <c r="V54">
        <f t="shared" si="24"/>
        <v>7133839040077.6152</v>
      </c>
      <c r="W54">
        <f t="shared" si="25"/>
        <v>6844704135500</v>
      </c>
      <c r="Z54" s="32">
        <v>18.444587079800002</v>
      </c>
      <c r="AA54" s="32" t="str">
        <f t="shared" si="26"/>
        <v/>
      </c>
      <c r="AB54" s="32" t="e">
        <f t="shared" si="27"/>
        <v>#N/A</v>
      </c>
      <c r="AC54" s="32" t="e">
        <f t="shared" si="28"/>
        <v>#N/A</v>
      </c>
      <c r="AD54" s="32" t="e">
        <f t="shared" si="29"/>
        <v>#N/A</v>
      </c>
      <c r="AE54" s="32">
        <v>6.8447041354999998</v>
      </c>
    </row>
    <row r="55" spans="2:31" ht="15" x14ac:dyDescent="0.35">
      <c r="B55" t="str">
        <f t="shared" si="15"/>
        <v>iBoxx EUR Corporates Net Zero 2050 Paris-Aligned ESG Index51</v>
      </c>
      <c r="C55" t="s">
        <v>533</v>
      </c>
      <c r="D55" t="s">
        <v>163</v>
      </c>
      <c r="E55" t="s">
        <v>534</v>
      </c>
      <c r="F55">
        <v>51</v>
      </c>
      <c r="G55" t="s">
        <v>535</v>
      </c>
      <c r="H55" s="26">
        <v>45046</v>
      </c>
      <c r="I55" s="33">
        <v>18734909.553000003</v>
      </c>
      <c r="J55" s="33">
        <f t="shared" si="16"/>
        <v>9367454.7765000015</v>
      </c>
      <c r="K55" s="33">
        <f t="shared" si="17"/>
        <v>7272643.0018572565</v>
      </c>
      <c r="L55" s="33">
        <f t="shared" si="18"/>
        <v>7272643.0018572565</v>
      </c>
      <c r="M55" s="33">
        <f t="shared" si="19"/>
        <v>7090826.9268108252</v>
      </c>
      <c r="N55" s="33">
        <v>7090826.9268000005</v>
      </c>
      <c r="O55" s="27">
        <v>0.23202</v>
      </c>
      <c r="P55" s="155" t="s">
        <v>536</v>
      </c>
      <c r="R55">
        <f t="shared" si="20"/>
        <v>18734909553000.004</v>
      </c>
      <c r="S55">
        <f t="shared" si="21"/>
        <v>9367454776500.002</v>
      </c>
      <c r="T55">
        <f t="shared" si="22"/>
        <v>7272643001857.2568</v>
      </c>
      <c r="U55">
        <f t="shared" si="23"/>
        <v>7272643001857.2568</v>
      </c>
      <c r="V55">
        <f t="shared" si="24"/>
        <v>7090826926810.8252</v>
      </c>
      <c r="W55">
        <f t="shared" si="25"/>
        <v>7090826926800</v>
      </c>
      <c r="Z55" s="32">
        <v>18.734909553000001</v>
      </c>
      <c r="AA55" s="32" t="str">
        <f t="shared" si="26"/>
        <v/>
      </c>
      <c r="AB55" s="32" t="e">
        <f t="shared" si="27"/>
        <v>#N/A</v>
      </c>
      <c r="AC55" s="32" t="e">
        <f t="shared" si="28"/>
        <v>#N/A</v>
      </c>
      <c r="AD55" s="32" t="e">
        <f t="shared" si="29"/>
        <v>#N/A</v>
      </c>
      <c r="AE55" s="32">
        <v>7.0908269268000002</v>
      </c>
    </row>
    <row r="56" spans="2:31" ht="15" x14ac:dyDescent="0.35">
      <c r="B56" t="str">
        <f t="shared" si="15"/>
        <v>iBoxx EUR Corporates Net Zero 2050 Paris-Aligned ESG Index52</v>
      </c>
      <c r="C56" t="s">
        <v>533</v>
      </c>
      <c r="D56" t="s">
        <v>163</v>
      </c>
      <c r="E56" t="s">
        <v>534</v>
      </c>
      <c r="F56">
        <v>52</v>
      </c>
      <c r="G56" t="s">
        <v>535</v>
      </c>
      <c r="H56" s="26">
        <v>45077</v>
      </c>
      <c r="I56" s="33">
        <v>18936134.3594</v>
      </c>
      <c r="J56" s="33">
        <f t="shared" si="16"/>
        <v>9468067.1797000002</v>
      </c>
      <c r="K56" s="33">
        <f t="shared" si="17"/>
        <v>7228793.9967440972</v>
      </c>
      <c r="L56" s="33">
        <f t="shared" si="18"/>
        <v>7228793.9967440972</v>
      </c>
      <c r="M56" s="33">
        <f t="shared" si="19"/>
        <v>7048074.1468254942</v>
      </c>
      <c r="N56" s="33">
        <v>7048074.1468000002</v>
      </c>
      <c r="O56" s="27">
        <v>0.23771</v>
      </c>
      <c r="P56" s="155" t="s">
        <v>536</v>
      </c>
      <c r="R56">
        <f t="shared" si="20"/>
        <v>18936134359400</v>
      </c>
      <c r="S56">
        <f t="shared" si="21"/>
        <v>9468067179700</v>
      </c>
      <c r="T56">
        <f t="shared" si="22"/>
        <v>7228793996744.0977</v>
      </c>
      <c r="U56">
        <f t="shared" si="23"/>
        <v>7228793996744.0977</v>
      </c>
      <c r="V56">
        <f t="shared" si="24"/>
        <v>7048074146825.4941</v>
      </c>
      <c r="W56">
        <f t="shared" si="25"/>
        <v>7048074146800</v>
      </c>
      <c r="Z56" s="32">
        <v>18.9361343594</v>
      </c>
      <c r="AA56" s="32" t="str">
        <f t="shared" si="26"/>
        <v/>
      </c>
      <c r="AB56" s="32" t="e">
        <f t="shared" si="27"/>
        <v>#N/A</v>
      </c>
      <c r="AC56" s="32" t="e">
        <f t="shared" si="28"/>
        <v>#N/A</v>
      </c>
      <c r="AD56" s="32" t="e">
        <f t="shared" si="29"/>
        <v>#N/A</v>
      </c>
      <c r="AE56" s="32">
        <v>7.0480741468000003</v>
      </c>
    </row>
    <row r="57" spans="2:31" ht="15" x14ac:dyDescent="0.35">
      <c r="B57" t="str">
        <f t="shared" si="15"/>
        <v>iBoxx EUR Corporates Net Zero 2050 Paris-Aligned ESG Index53</v>
      </c>
      <c r="C57" t="s">
        <v>533</v>
      </c>
      <c r="D57" t="s">
        <v>163</v>
      </c>
      <c r="E57" t="s">
        <v>534</v>
      </c>
      <c r="F57">
        <v>53</v>
      </c>
      <c r="G57" t="s">
        <v>535</v>
      </c>
      <c r="H57" s="26">
        <v>45107</v>
      </c>
      <c r="I57" s="33">
        <v>23855259.058699999</v>
      </c>
      <c r="J57" s="33">
        <f t="shared" si="16"/>
        <v>11927629.52935</v>
      </c>
      <c r="K57" s="33">
        <f t="shared" si="17"/>
        <v>7185209.3707911577</v>
      </c>
      <c r="L57" s="33">
        <f t="shared" si="18"/>
        <v>7185209.3707911577</v>
      </c>
      <c r="M57" s="33">
        <f t="shared" si="19"/>
        <v>7005579.1365213785</v>
      </c>
      <c r="N57" s="33">
        <v>7005579.1365</v>
      </c>
      <c r="O57" s="27">
        <v>0.26190999999999998</v>
      </c>
      <c r="P57" s="155" t="s">
        <v>536</v>
      </c>
      <c r="R57">
        <f t="shared" si="20"/>
        <v>23855259058700</v>
      </c>
      <c r="S57">
        <f t="shared" si="21"/>
        <v>11927629529350</v>
      </c>
      <c r="T57">
        <f t="shared" si="22"/>
        <v>7185209370791.1572</v>
      </c>
      <c r="U57">
        <f t="shared" si="23"/>
        <v>7185209370791.1572</v>
      </c>
      <c r="V57">
        <f t="shared" si="24"/>
        <v>7005579136521.3789</v>
      </c>
      <c r="W57">
        <f t="shared" si="25"/>
        <v>7005579136500</v>
      </c>
      <c r="Z57" s="32">
        <v>23.8552590587</v>
      </c>
      <c r="AA57" s="32" t="str">
        <f t="shared" si="26"/>
        <v/>
      </c>
      <c r="AB57" s="32" t="e">
        <f t="shared" si="27"/>
        <v>#N/A</v>
      </c>
      <c r="AC57" s="32" t="e">
        <f t="shared" si="28"/>
        <v>#N/A</v>
      </c>
      <c r="AD57" s="32" t="e">
        <f t="shared" si="29"/>
        <v>#N/A</v>
      </c>
      <c r="AE57" s="32">
        <v>7.0055791364999997</v>
      </c>
    </row>
    <row r="58" spans="2:31" ht="15" x14ac:dyDescent="0.35">
      <c r="B58" t="str">
        <f t="shared" si="15"/>
        <v>iBoxx EUR Corporates Net Zero 2050 Paris-Aligned ESG Index54</v>
      </c>
      <c r="C58" t="s">
        <v>533</v>
      </c>
      <c r="D58" t="s">
        <v>163</v>
      </c>
      <c r="E58" t="s">
        <v>534</v>
      </c>
      <c r="F58">
        <v>54</v>
      </c>
      <c r="G58" t="s">
        <v>535</v>
      </c>
      <c r="H58" s="26">
        <v>45138</v>
      </c>
      <c r="I58" s="33">
        <v>22994523.327300001</v>
      </c>
      <c r="J58" s="33">
        <f t="shared" si="16"/>
        <v>11497261.66365</v>
      </c>
      <c r="K58" s="33">
        <f t="shared" si="17"/>
        <v>7141887.5299750352</v>
      </c>
      <c r="L58" s="33">
        <f t="shared" si="18"/>
        <v>7141887.5299750352</v>
      </c>
      <c r="M58" s="33">
        <f t="shared" si="19"/>
        <v>6963340.3417256596</v>
      </c>
      <c r="N58" s="33">
        <v>6588575.5219000001</v>
      </c>
      <c r="O58" s="27">
        <v>0.25890999999999997</v>
      </c>
      <c r="P58" s="155" t="s">
        <v>536</v>
      </c>
      <c r="R58">
        <f t="shared" si="20"/>
        <v>22994523327300</v>
      </c>
      <c r="S58">
        <f t="shared" si="21"/>
        <v>11497261663650</v>
      </c>
      <c r="T58">
        <f t="shared" si="22"/>
        <v>7141887529975.0352</v>
      </c>
      <c r="U58">
        <f t="shared" si="23"/>
        <v>7141887529975.0352</v>
      </c>
      <c r="V58">
        <f t="shared" si="24"/>
        <v>6963340341725.6592</v>
      </c>
      <c r="W58">
        <f t="shared" si="25"/>
        <v>6588575521900</v>
      </c>
      <c r="Z58" s="32">
        <v>22.994523327300001</v>
      </c>
      <c r="AA58" s="32" t="str">
        <f t="shared" si="26"/>
        <v/>
      </c>
      <c r="AB58" s="32" t="e">
        <f t="shared" si="27"/>
        <v>#N/A</v>
      </c>
      <c r="AC58" s="32" t="e">
        <f t="shared" si="28"/>
        <v>#N/A</v>
      </c>
      <c r="AD58" s="32" t="e">
        <f t="shared" si="29"/>
        <v>#N/A</v>
      </c>
      <c r="AE58" s="32">
        <v>6.5885755219000002</v>
      </c>
    </row>
    <row r="59" spans="2:31" ht="15" x14ac:dyDescent="0.35">
      <c r="B59" t="str">
        <f t="shared" si="15"/>
        <v>iBoxx EUR Corporates Net Zero 2050 Paris-Aligned ESG Index55</v>
      </c>
      <c r="C59" t="s">
        <v>533</v>
      </c>
      <c r="D59" t="s">
        <v>163</v>
      </c>
      <c r="E59" t="s">
        <v>534</v>
      </c>
      <c r="F59">
        <v>55</v>
      </c>
      <c r="G59" t="s">
        <v>535</v>
      </c>
      <c r="H59" s="26">
        <v>45169</v>
      </c>
      <c r="I59" s="33">
        <v>23338469.6325</v>
      </c>
      <c r="J59" s="33">
        <f t="shared" si="16"/>
        <v>11669234.81625</v>
      </c>
      <c r="K59" s="33">
        <f t="shared" si="17"/>
        <v>7098826.8898831857</v>
      </c>
      <c r="L59" s="33">
        <f t="shared" si="18"/>
        <v>7098826.8898831857</v>
      </c>
      <c r="M59" s="33">
        <f t="shared" si="19"/>
        <v>6921356.2176361056</v>
      </c>
      <c r="N59" s="33">
        <v>6921356.2176000001</v>
      </c>
      <c r="O59" s="27">
        <v>0.26177</v>
      </c>
      <c r="P59" s="155" t="s">
        <v>536</v>
      </c>
      <c r="R59">
        <f t="shared" si="20"/>
        <v>23338469632500</v>
      </c>
      <c r="S59">
        <f t="shared" si="21"/>
        <v>11669234816250</v>
      </c>
      <c r="T59">
        <f t="shared" si="22"/>
        <v>7098826889883.1855</v>
      </c>
      <c r="U59">
        <f t="shared" si="23"/>
        <v>7098826889883.1855</v>
      </c>
      <c r="V59">
        <f t="shared" si="24"/>
        <v>6921356217636.1055</v>
      </c>
      <c r="W59">
        <f t="shared" si="25"/>
        <v>6921356217600</v>
      </c>
      <c r="Z59" s="32">
        <v>23.338469632500001</v>
      </c>
      <c r="AA59" s="32" t="str">
        <f t="shared" si="26"/>
        <v/>
      </c>
      <c r="AB59" s="32" t="e">
        <f t="shared" si="27"/>
        <v>#N/A</v>
      </c>
      <c r="AC59" s="32" t="e">
        <f t="shared" si="28"/>
        <v>#N/A</v>
      </c>
      <c r="AD59" s="32" t="e">
        <f t="shared" si="29"/>
        <v>#N/A</v>
      </c>
      <c r="AE59" s="32">
        <v>6.9213562175999996</v>
      </c>
    </row>
    <row r="60" spans="2:31" ht="15" x14ac:dyDescent="0.35">
      <c r="B60" t="str">
        <f t="shared" si="15"/>
        <v>iBoxx EUR Corporates Net Zero 2050 Paris-Aligned ESG Index56</v>
      </c>
      <c r="C60" t="s">
        <v>533</v>
      </c>
      <c r="D60" t="s">
        <v>163</v>
      </c>
      <c r="E60" t="s">
        <v>534</v>
      </c>
      <c r="F60">
        <v>56</v>
      </c>
      <c r="G60" t="s">
        <v>535</v>
      </c>
      <c r="H60" s="26">
        <v>45199</v>
      </c>
      <c r="I60" s="33">
        <v>23002945.207600001</v>
      </c>
      <c r="J60" s="33">
        <f t="shared" si="16"/>
        <v>11501472.603800001</v>
      </c>
      <c r="K60" s="33">
        <f t="shared" si="17"/>
        <v>7056025.8756559743</v>
      </c>
      <c r="L60" s="33">
        <f t="shared" si="18"/>
        <v>7056025.8756559743</v>
      </c>
      <c r="M60" s="33">
        <f t="shared" si="19"/>
        <v>6879625.228764575</v>
      </c>
      <c r="N60" s="33">
        <v>6645034.8106000004</v>
      </c>
      <c r="O60" s="27">
        <v>0.25916</v>
      </c>
      <c r="P60" s="155" t="s">
        <v>536</v>
      </c>
      <c r="R60">
        <f t="shared" si="20"/>
        <v>23002945207600</v>
      </c>
      <c r="S60">
        <f t="shared" si="21"/>
        <v>11501472603800</v>
      </c>
      <c r="T60">
        <f t="shared" si="22"/>
        <v>7056025875655.9746</v>
      </c>
      <c r="U60">
        <f t="shared" si="23"/>
        <v>7056025875655.9746</v>
      </c>
      <c r="V60">
        <f t="shared" si="24"/>
        <v>6879625228764.5752</v>
      </c>
      <c r="W60">
        <f t="shared" si="25"/>
        <v>6645034810600</v>
      </c>
      <c r="Z60" s="32">
        <v>23.0029452076</v>
      </c>
      <c r="AA60" s="32" t="str">
        <f t="shared" si="26"/>
        <v/>
      </c>
      <c r="AB60" s="32" t="e">
        <f t="shared" si="27"/>
        <v>#N/A</v>
      </c>
      <c r="AC60" s="32" t="e">
        <f t="shared" si="28"/>
        <v>#N/A</v>
      </c>
      <c r="AD60" s="32" t="e">
        <f t="shared" si="29"/>
        <v>#N/A</v>
      </c>
      <c r="AE60" s="32">
        <v>6.6450348106000003</v>
      </c>
    </row>
    <row r="61" spans="2:31" ht="15" x14ac:dyDescent="0.35">
      <c r="B61" t="str">
        <f t="shared" si="15"/>
        <v>iBoxx EUR Corporates Net Zero 2050 Paris-Aligned ESG Index57</v>
      </c>
      <c r="C61" t="s">
        <v>533</v>
      </c>
      <c r="D61" t="s">
        <v>163</v>
      </c>
      <c r="E61" t="s">
        <v>534</v>
      </c>
      <c r="F61">
        <v>57</v>
      </c>
      <c r="G61" t="s">
        <v>535</v>
      </c>
      <c r="H61" s="26">
        <v>45230</v>
      </c>
      <c r="I61" s="33">
        <v>22896438.562800001</v>
      </c>
      <c r="J61" s="33">
        <f t="shared" si="16"/>
        <v>11448219.281400001</v>
      </c>
      <c r="K61" s="33">
        <f t="shared" si="17"/>
        <v>7013482.9219290819</v>
      </c>
      <c r="L61" s="33">
        <f t="shared" si="18"/>
        <v>7013482.9219290819</v>
      </c>
      <c r="M61" s="33">
        <f t="shared" si="19"/>
        <v>6838145.8488808544</v>
      </c>
      <c r="N61" s="33">
        <v>6708932.3909999998</v>
      </c>
      <c r="O61" s="27">
        <v>0.25735000000000002</v>
      </c>
      <c r="P61" s="155" t="s">
        <v>536</v>
      </c>
      <c r="R61">
        <f t="shared" si="20"/>
        <v>22896438562800</v>
      </c>
      <c r="S61">
        <f t="shared" si="21"/>
        <v>11448219281400</v>
      </c>
      <c r="T61">
        <f t="shared" si="22"/>
        <v>7013482921929.082</v>
      </c>
      <c r="U61">
        <f t="shared" si="23"/>
        <v>7013482921929.082</v>
      </c>
      <c r="V61">
        <f t="shared" si="24"/>
        <v>6838145848880.8545</v>
      </c>
      <c r="W61">
        <f t="shared" si="25"/>
        <v>6708932391000</v>
      </c>
      <c r="Z61" s="32">
        <v>22.8964385628</v>
      </c>
      <c r="AA61" s="32" t="str">
        <f t="shared" si="26"/>
        <v/>
      </c>
      <c r="AB61" s="32" t="e">
        <f t="shared" si="27"/>
        <v>#N/A</v>
      </c>
      <c r="AC61" s="32" t="e">
        <f t="shared" si="28"/>
        <v>#N/A</v>
      </c>
      <c r="AD61" s="32" t="e">
        <f t="shared" si="29"/>
        <v>#N/A</v>
      </c>
      <c r="AE61" s="32">
        <v>6.7089323910000003</v>
      </c>
    </row>
    <row r="62" spans="2:31" ht="15" x14ac:dyDescent="0.35">
      <c r="B62" t="str">
        <f t="shared" si="15"/>
        <v>iBoxx EUR Corporates Net Zero 2050 Paris-Aligned ESG Index58</v>
      </c>
      <c r="C62" t="s">
        <v>533</v>
      </c>
      <c r="D62" t="s">
        <v>163</v>
      </c>
      <c r="E62" t="s">
        <v>534</v>
      </c>
      <c r="F62">
        <v>58</v>
      </c>
      <c r="G62" t="s">
        <v>535</v>
      </c>
      <c r="H62" s="26">
        <v>45260</v>
      </c>
      <c r="I62" s="33">
        <v>24232330.934799999</v>
      </c>
      <c r="J62" s="33">
        <f t="shared" si="16"/>
        <v>12116165.467399999</v>
      </c>
      <c r="K62" s="33">
        <f t="shared" si="17"/>
        <v>6971196.4727762509</v>
      </c>
      <c r="L62" s="33">
        <f t="shared" si="18"/>
        <v>6971196.4727762509</v>
      </c>
      <c r="M62" s="33">
        <f t="shared" si="19"/>
        <v>6796916.5609568441</v>
      </c>
      <c r="N62" s="33">
        <v>6796916.5609999998</v>
      </c>
      <c r="O62" s="27">
        <v>0.29233999999999999</v>
      </c>
      <c r="P62" s="155" t="s">
        <v>536</v>
      </c>
      <c r="R62">
        <f t="shared" si="20"/>
        <v>24232330934800</v>
      </c>
      <c r="S62">
        <f t="shared" si="21"/>
        <v>12116165467400</v>
      </c>
      <c r="T62">
        <f t="shared" si="22"/>
        <v>6971196472776.251</v>
      </c>
      <c r="U62">
        <f t="shared" si="23"/>
        <v>6971196472776.251</v>
      </c>
      <c r="V62">
        <f t="shared" si="24"/>
        <v>6796916560956.8438</v>
      </c>
      <c r="W62">
        <f t="shared" si="25"/>
        <v>6796916561000</v>
      </c>
      <c r="Z62" s="32">
        <v>24.2323309348</v>
      </c>
      <c r="AA62" s="32" t="str">
        <f t="shared" si="26"/>
        <v/>
      </c>
      <c r="AB62" s="32" t="e">
        <f t="shared" si="27"/>
        <v>#N/A</v>
      </c>
      <c r="AC62" s="32" t="e">
        <f t="shared" si="28"/>
        <v>#N/A</v>
      </c>
      <c r="AD62" s="32" t="e">
        <f t="shared" si="29"/>
        <v>#N/A</v>
      </c>
      <c r="AE62" s="32">
        <v>6.7969165609999997</v>
      </c>
    </row>
    <row r="63" spans="2:31" ht="15" x14ac:dyDescent="0.35">
      <c r="B63" t="str">
        <f t="shared" si="15"/>
        <v>iBoxx EUR Corporates Net Zero 2050 Paris-Aligned ESG Index59</v>
      </c>
      <c r="C63" t="s">
        <v>533</v>
      </c>
      <c r="D63" t="s">
        <v>163</v>
      </c>
      <c r="E63" t="s">
        <v>534</v>
      </c>
      <c r="F63">
        <v>59</v>
      </c>
      <c r="G63" t="s">
        <v>535</v>
      </c>
      <c r="H63" s="26">
        <v>45291</v>
      </c>
      <c r="I63" s="33">
        <v>22803419.1686</v>
      </c>
      <c r="J63" s="33">
        <f t="shared" si="16"/>
        <v>11401709.5843</v>
      </c>
      <c r="K63" s="33">
        <f t="shared" si="17"/>
        <v>6929164.9816523856</v>
      </c>
      <c r="L63" s="33">
        <f t="shared" si="18"/>
        <v>6929164.9816523856</v>
      </c>
      <c r="M63" s="33">
        <f t="shared" si="19"/>
        <v>6755935.8571110759</v>
      </c>
      <c r="N63" s="33">
        <v>5666516.4335000003</v>
      </c>
      <c r="O63" s="27">
        <v>0.29713000000000001</v>
      </c>
      <c r="P63" s="155" t="s">
        <v>536</v>
      </c>
      <c r="R63">
        <f t="shared" si="20"/>
        <v>22803419168600</v>
      </c>
      <c r="S63">
        <f t="shared" si="21"/>
        <v>11401709584300</v>
      </c>
      <c r="T63">
        <f t="shared" si="22"/>
        <v>6929164981652.3857</v>
      </c>
      <c r="U63">
        <f t="shared" si="23"/>
        <v>6929164981652.3857</v>
      </c>
      <c r="V63">
        <f t="shared" si="24"/>
        <v>6755935857111.0762</v>
      </c>
      <c r="W63">
        <f t="shared" si="25"/>
        <v>5666516433500</v>
      </c>
      <c r="Z63" s="32">
        <v>22.803419168600001</v>
      </c>
      <c r="AA63" s="32" t="str">
        <f t="shared" si="26"/>
        <v/>
      </c>
      <c r="AB63" s="32" t="e">
        <f t="shared" si="27"/>
        <v>#N/A</v>
      </c>
      <c r="AC63" s="32" t="e">
        <f t="shared" si="28"/>
        <v>#N/A</v>
      </c>
      <c r="AD63" s="32" t="e">
        <f t="shared" si="29"/>
        <v>#N/A</v>
      </c>
      <c r="AE63" s="32">
        <v>5.6665164335</v>
      </c>
    </row>
    <row r="64" spans="2:31" ht="15" x14ac:dyDescent="0.35">
      <c r="B64" t="str">
        <f t="shared" si="15"/>
        <v>iBoxx EUR Corporates Net Zero 2050 Paris-Aligned ESG Index60</v>
      </c>
      <c r="C64" t="s">
        <v>533</v>
      </c>
      <c r="D64" t="s">
        <v>163</v>
      </c>
      <c r="E64" t="s">
        <v>534</v>
      </c>
      <c r="F64">
        <v>60</v>
      </c>
      <c r="G64" t="s">
        <v>535</v>
      </c>
      <c r="H64" s="26">
        <v>45322</v>
      </c>
      <c r="I64" s="33">
        <v>22907717.520500001</v>
      </c>
      <c r="J64" s="33">
        <f t="shared" si="16"/>
        <v>11453858.76025</v>
      </c>
      <c r="K64" s="33">
        <f t="shared" si="17"/>
        <v>6887386.9113369854</v>
      </c>
      <c r="L64" s="33">
        <f t="shared" si="18"/>
        <v>6887386.9113369854</v>
      </c>
      <c r="M64" s="33">
        <f t="shared" si="19"/>
        <v>6715202.2385535603</v>
      </c>
      <c r="N64" s="33">
        <v>6000123.5354000004</v>
      </c>
      <c r="O64" s="27">
        <v>0.29644999999999999</v>
      </c>
      <c r="P64" s="155" t="s">
        <v>536</v>
      </c>
      <c r="R64">
        <f t="shared" si="20"/>
        <v>22907717520500</v>
      </c>
      <c r="S64">
        <f t="shared" si="21"/>
        <v>11453858760250</v>
      </c>
      <c r="T64">
        <f t="shared" si="22"/>
        <v>6887386911336.9854</v>
      </c>
      <c r="U64">
        <f t="shared" si="23"/>
        <v>6887386911336.9854</v>
      </c>
      <c r="V64">
        <f t="shared" si="24"/>
        <v>6715202238553.5605</v>
      </c>
      <c r="W64">
        <f t="shared" si="25"/>
        <v>6000123535400</v>
      </c>
      <c r="Z64" s="32">
        <v>22.9077175205</v>
      </c>
      <c r="AA64" s="32" t="str">
        <f t="shared" si="26"/>
        <v/>
      </c>
      <c r="AB64" s="32" t="e">
        <f t="shared" si="27"/>
        <v>#N/A</v>
      </c>
      <c r="AC64" s="32" t="e">
        <f t="shared" si="28"/>
        <v>#N/A</v>
      </c>
      <c r="AD64" s="32" t="e">
        <f t="shared" si="29"/>
        <v>#N/A</v>
      </c>
      <c r="AE64" s="32">
        <v>6.0001235354000002</v>
      </c>
    </row>
    <row r="65" spans="2:31" ht="15" x14ac:dyDescent="0.35">
      <c r="B65" t="str">
        <f t="shared" si="15"/>
        <v>iBoxx EUR Corporates Net Zero 2050 Paris-Aligned ESG Index61</v>
      </c>
      <c r="C65" t="s">
        <v>533</v>
      </c>
      <c r="D65" t="s">
        <v>163</v>
      </c>
      <c r="E65" t="s">
        <v>534</v>
      </c>
      <c r="F65">
        <v>61</v>
      </c>
      <c r="G65" t="s">
        <v>535</v>
      </c>
      <c r="H65" s="26">
        <v>45350</v>
      </c>
      <c r="I65" s="33">
        <v>22269826.870700002</v>
      </c>
      <c r="J65" s="33">
        <f t="shared" si="16"/>
        <v>11134913.435350001</v>
      </c>
      <c r="K65" s="33">
        <f t="shared" si="17"/>
        <v>6845860.7338779243</v>
      </c>
      <c r="L65" s="33">
        <f t="shared" si="18"/>
        <v>6845860.7338779243</v>
      </c>
      <c r="M65" s="33">
        <f t="shared" si="19"/>
        <v>6674714.2155309757</v>
      </c>
      <c r="N65" s="33">
        <v>5853399.3784999996</v>
      </c>
      <c r="O65" s="27">
        <v>0.29538999999999999</v>
      </c>
      <c r="P65" s="155" t="s">
        <v>536</v>
      </c>
      <c r="R65">
        <f t="shared" si="20"/>
        <v>22269826870700</v>
      </c>
      <c r="S65">
        <f t="shared" si="21"/>
        <v>11134913435350</v>
      </c>
      <c r="T65">
        <f t="shared" si="22"/>
        <v>6845860733877.9238</v>
      </c>
      <c r="U65">
        <f t="shared" si="23"/>
        <v>6845860733877.9238</v>
      </c>
      <c r="V65">
        <f t="shared" si="24"/>
        <v>6674714215530.9756</v>
      </c>
      <c r="W65">
        <f t="shared" si="25"/>
        <v>5853399378500</v>
      </c>
      <c r="Z65" s="32">
        <v>22.269826870700001</v>
      </c>
      <c r="AA65" s="32" t="str">
        <f t="shared" si="26"/>
        <v/>
      </c>
      <c r="AB65" s="32" t="e">
        <f t="shared" si="27"/>
        <v>#N/A</v>
      </c>
      <c r="AC65" s="32" t="e">
        <f t="shared" si="28"/>
        <v>#N/A</v>
      </c>
      <c r="AD65" s="32" t="e">
        <f t="shared" si="29"/>
        <v>#N/A</v>
      </c>
      <c r="AE65" s="32">
        <v>5.8533993784999998</v>
      </c>
    </row>
    <row r="66" spans="2:31" ht="15" x14ac:dyDescent="0.35">
      <c r="B66" t="str">
        <f t="shared" si="15"/>
        <v>iBoxx EUR Corporates Net Zero 2050 Paris-Aligned ESG Index62</v>
      </c>
      <c r="C66" t="s">
        <v>533</v>
      </c>
      <c r="D66" t="s">
        <v>163</v>
      </c>
      <c r="E66" t="s">
        <v>534</v>
      </c>
      <c r="F66">
        <v>62</v>
      </c>
      <c r="G66" t="s">
        <v>535</v>
      </c>
      <c r="H66" s="26">
        <v>45382</v>
      </c>
      <c r="I66" s="33">
        <v>23353807.047200002</v>
      </c>
      <c r="J66" s="33">
        <f t="shared" si="16"/>
        <v>11676903.523600001</v>
      </c>
      <c r="K66" s="33">
        <f t="shared" si="17"/>
        <v>6804584.9305355716</v>
      </c>
      <c r="L66" s="33">
        <f t="shared" si="18"/>
        <v>6804584.9305355716</v>
      </c>
      <c r="M66" s="33">
        <f t="shared" si="19"/>
        <v>6634470.3072721818</v>
      </c>
      <c r="N66" s="33">
        <v>6634470.3072999995</v>
      </c>
      <c r="O66" s="27">
        <v>0.29874000000000001</v>
      </c>
      <c r="P66" s="155" t="s">
        <v>536</v>
      </c>
      <c r="R66">
        <f t="shared" si="20"/>
        <v>23353807047200</v>
      </c>
      <c r="S66">
        <f t="shared" si="21"/>
        <v>11676903523600</v>
      </c>
      <c r="T66">
        <f t="shared" si="22"/>
        <v>6804584930535.5713</v>
      </c>
      <c r="U66">
        <f t="shared" si="23"/>
        <v>6804584930535.5713</v>
      </c>
      <c r="V66">
        <f t="shared" si="24"/>
        <v>6634470307272.1816</v>
      </c>
      <c r="W66">
        <f t="shared" si="25"/>
        <v>6634470307300</v>
      </c>
      <c r="Z66" s="32">
        <v>23.3538070472</v>
      </c>
      <c r="AA66" s="32" t="str">
        <f t="shared" si="26"/>
        <v/>
      </c>
      <c r="AB66" s="32" t="e">
        <f t="shared" si="27"/>
        <v>#N/A</v>
      </c>
      <c r="AC66" s="32" t="e">
        <f t="shared" si="28"/>
        <v>#N/A</v>
      </c>
      <c r="AD66" s="32" t="e">
        <f t="shared" si="29"/>
        <v>#N/A</v>
      </c>
      <c r="AE66" s="32">
        <v>6.6344703073</v>
      </c>
    </row>
    <row r="67" spans="2:31" ht="15" x14ac:dyDescent="0.35">
      <c r="B67" t="str">
        <f t="shared" ref="B67:B98" si="30">_xlfn.CONCAT(C67,F67)</f>
        <v>iBoxx EUR Corporates Net Zero 2050 Paris-Aligned ESG Index63</v>
      </c>
      <c r="C67" t="s">
        <v>533</v>
      </c>
      <c r="D67" t="s">
        <v>163</v>
      </c>
      <c r="E67" t="s">
        <v>534</v>
      </c>
      <c r="F67">
        <v>63</v>
      </c>
      <c r="G67" t="s">
        <v>535</v>
      </c>
      <c r="H67" s="26">
        <v>45412</v>
      </c>
      <c r="I67" s="33">
        <v>24201819.048699997</v>
      </c>
      <c r="J67" s="33">
        <f t="shared" si="16"/>
        <v>12100909.524349999</v>
      </c>
      <c r="K67" s="33">
        <f t="shared" si="17"/>
        <v>6763557.9917272478</v>
      </c>
      <c r="L67" s="33">
        <f t="shared" si="18"/>
        <v>6763557.9917272478</v>
      </c>
      <c r="M67" s="33">
        <f t="shared" si="19"/>
        <v>6594469.0419340665</v>
      </c>
      <c r="N67" s="33">
        <v>6594469.0418999996</v>
      </c>
      <c r="O67" s="40">
        <v>0.30569000000000002</v>
      </c>
      <c r="P67" s="155" t="s">
        <v>536</v>
      </c>
      <c r="R67">
        <f t="shared" si="20"/>
        <v>24201819048699.996</v>
      </c>
      <c r="S67">
        <f t="shared" si="21"/>
        <v>12100909524349.998</v>
      </c>
      <c r="T67">
        <f t="shared" si="22"/>
        <v>6763557991727.248</v>
      </c>
      <c r="U67">
        <f t="shared" si="23"/>
        <v>6763557991727.248</v>
      </c>
      <c r="V67">
        <f t="shared" si="24"/>
        <v>6594469041934.0664</v>
      </c>
      <c r="W67">
        <f t="shared" si="25"/>
        <v>6594469041900</v>
      </c>
      <c r="Z67" s="32">
        <v>24.201819048699999</v>
      </c>
      <c r="AA67" s="32" t="str">
        <f t="shared" si="26"/>
        <v/>
      </c>
      <c r="AB67" s="32" t="e">
        <f t="shared" si="27"/>
        <v>#N/A</v>
      </c>
      <c r="AC67" s="32" t="e">
        <f t="shared" si="28"/>
        <v>#N/A</v>
      </c>
      <c r="AD67" s="32" t="e">
        <f t="shared" si="29"/>
        <v>#N/A</v>
      </c>
      <c r="AE67" s="32">
        <v>6.5944690419000001</v>
      </c>
    </row>
    <row r="68" spans="2:31" ht="15" x14ac:dyDescent="0.35">
      <c r="B68" t="str">
        <f t="shared" si="30"/>
        <v>iBoxx EUR Corporates Net Zero 2050 Paris-Aligned ESG Index64</v>
      </c>
      <c r="C68" t="s">
        <v>533</v>
      </c>
      <c r="D68" t="s">
        <v>163</v>
      </c>
      <c r="E68" t="s">
        <v>534</v>
      </c>
      <c r="F68">
        <v>64</v>
      </c>
      <c r="G68" t="s">
        <v>535</v>
      </c>
      <c r="H68" s="26">
        <v>45443</v>
      </c>
      <c r="I68" s="33">
        <v>23491614.215599999</v>
      </c>
      <c r="J68" s="33">
        <f t="shared" ref="J68:J99" si="31">IF(G68="PA",I68*0.5,IF(G68="CT",I68*0.7,""))</f>
        <v>11745807.107799999</v>
      </c>
      <c r="K68" s="33">
        <f t="shared" ref="K68:K99" si="32">VLOOKUP(C68,$C:$K,8,FALSE)*0.93^(F68/12)</f>
        <v>6722778.4169720104</v>
      </c>
      <c r="L68" s="33">
        <f t="shared" ref="L68:L99" si="33">MIN(J68,K68)</f>
        <v>6722778.4169720104</v>
      </c>
      <c r="M68" s="33">
        <f t="shared" ref="M68:M99" si="34">L68*0.975</f>
        <v>6554708.9565477101</v>
      </c>
      <c r="N68" s="33">
        <v>6465293.0825999994</v>
      </c>
      <c r="O68" s="40">
        <v>0.30491000000000001</v>
      </c>
      <c r="P68" s="155" t="s">
        <v>536</v>
      </c>
      <c r="R68">
        <f t="shared" ref="R68:R99" si="35">I68*1000000</f>
        <v>23491614215600</v>
      </c>
      <c r="S68">
        <f t="shared" ref="S68:S99" si="36">J68*1000000</f>
        <v>11745807107800</v>
      </c>
      <c r="T68">
        <f t="shared" ref="T68:T99" si="37">K68*1000000</f>
        <v>6722778416972.0107</v>
      </c>
      <c r="U68">
        <f t="shared" ref="U68:U99" si="38">L68*1000000</f>
        <v>6722778416972.0107</v>
      </c>
      <c r="V68">
        <f t="shared" ref="V68:V99" si="39">M68*1000000</f>
        <v>6554708956547.71</v>
      </c>
      <c r="W68">
        <f t="shared" ref="W68:W99" si="40">N68*1000000</f>
        <v>6465293082599.999</v>
      </c>
      <c r="Z68" s="32">
        <v>23.491614215599999</v>
      </c>
      <c r="AA68" s="32" t="str">
        <f t="shared" ref="AA68:AA99" si="41">IF(X68="PA",Z68*0.5,IF(X68="CT",Z68*0.7,""))</f>
        <v/>
      </c>
      <c r="AB68" s="32" t="e">
        <f t="shared" ref="AB68:AB99" si="42">VLOOKUP(T68,$C:$K,8,FALSE)*0.93^(W68/12)</f>
        <v>#N/A</v>
      </c>
      <c r="AC68" s="32" t="e">
        <f t="shared" ref="AC68:AC99" si="43">MIN(AA68,AB68)</f>
        <v>#N/A</v>
      </c>
      <c r="AD68" s="32" t="e">
        <f t="shared" ref="AD68:AD99" si="44">AC68*0.975</f>
        <v>#N/A</v>
      </c>
      <c r="AE68" s="32">
        <v>6.4652930825999997</v>
      </c>
    </row>
    <row r="69" spans="2:31" ht="15" x14ac:dyDescent="0.35">
      <c r="B69" t="str">
        <f t="shared" si="30"/>
        <v>iBoxx EUR Corporates Net Zero 2050 Paris-Aligned ESG Index65</v>
      </c>
      <c r="C69" t="s">
        <v>533</v>
      </c>
      <c r="D69" t="s">
        <v>163</v>
      </c>
      <c r="E69" t="s">
        <v>534</v>
      </c>
      <c r="F69">
        <v>65</v>
      </c>
      <c r="G69" t="s">
        <v>535</v>
      </c>
      <c r="H69" s="26">
        <v>45473</v>
      </c>
      <c r="I69" s="33">
        <v>23949415.208800003</v>
      </c>
      <c r="J69" s="33">
        <f t="shared" si="31"/>
        <v>11974707.604400001</v>
      </c>
      <c r="K69" s="33">
        <f t="shared" si="32"/>
        <v>6682244.7148357769</v>
      </c>
      <c r="L69" s="33">
        <f t="shared" si="33"/>
        <v>6682244.7148357769</v>
      </c>
      <c r="M69" s="33">
        <f t="shared" si="34"/>
        <v>6515188.5969648827</v>
      </c>
      <c r="N69" s="33">
        <v>6515188.5970000001</v>
      </c>
      <c r="O69" s="40">
        <v>0.30341000000000001</v>
      </c>
      <c r="P69" s="155" t="s">
        <v>536</v>
      </c>
      <c r="R69">
        <f t="shared" si="35"/>
        <v>23949415208800.004</v>
      </c>
      <c r="S69">
        <f t="shared" si="36"/>
        <v>11974707604400.002</v>
      </c>
      <c r="T69">
        <f t="shared" si="37"/>
        <v>6682244714835.7773</v>
      </c>
      <c r="U69">
        <f t="shared" si="38"/>
        <v>6682244714835.7773</v>
      </c>
      <c r="V69">
        <f t="shared" si="39"/>
        <v>6515188596964.8828</v>
      </c>
      <c r="W69">
        <f t="shared" si="40"/>
        <v>6515188597000</v>
      </c>
      <c r="Z69" s="32">
        <v>23.949415208800001</v>
      </c>
      <c r="AA69" s="32" t="str">
        <f t="shared" si="41"/>
        <v/>
      </c>
      <c r="AB69" s="32" t="e">
        <f t="shared" si="42"/>
        <v>#N/A</v>
      </c>
      <c r="AC69" s="32" t="e">
        <f t="shared" si="43"/>
        <v>#N/A</v>
      </c>
      <c r="AD69" s="32" t="e">
        <f t="shared" si="44"/>
        <v>#N/A</v>
      </c>
      <c r="AE69" s="32">
        <v>6.5151885969999999</v>
      </c>
    </row>
    <row r="70" spans="2:31" ht="15" x14ac:dyDescent="0.35">
      <c r="B70" t="str">
        <f t="shared" si="30"/>
        <v>iBoxx EUR Corporates Net Zero 2050 Paris-Aligned ESG Index66</v>
      </c>
      <c r="C70" t="s">
        <v>533</v>
      </c>
      <c r="D70" t="s">
        <v>163</v>
      </c>
      <c r="E70" t="s">
        <v>534</v>
      </c>
      <c r="F70">
        <v>66</v>
      </c>
      <c r="G70" t="s">
        <v>535</v>
      </c>
      <c r="H70" s="26">
        <v>45504</v>
      </c>
      <c r="I70" s="33">
        <v>24564501.156599998</v>
      </c>
      <c r="J70" s="33">
        <f t="shared" si="31"/>
        <v>12282250.578299999</v>
      </c>
      <c r="K70" s="33">
        <f t="shared" si="32"/>
        <v>6641955.4028767832</v>
      </c>
      <c r="L70" s="33">
        <f t="shared" si="33"/>
        <v>6641955.4028767832</v>
      </c>
      <c r="M70" s="33">
        <f t="shared" si="34"/>
        <v>6475906.5178048639</v>
      </c>
      <c r="N70" s="33">
        <v>6475906.5178000005</v>
      </c>
      <c r="O70" s="40">
        <v>0.32511000000000001</v>
      </c>
      <c r="P70" s="155" t="s">
        <v>536</v>
      </c>
      <c r="R70">
        <f t="shared" si="35"/>
        <v>24564501156600</v>
      </c>
      <c r="S70">
        <f t="shared" si="36"/>
        <v>12282250578300</v>
      </c>
      <c r="T70">
        <f t="shared" si="37"/>
        <v>6641955402876.7832</v>
      </c>
      <c r="U70">
        <f t="shared" si="38"/>
        <v>6641955402876.7832</v>
      </c>
      <c r="V70">
        <f t="shared" si="39"/>
        <v>6475906517804.8643</v>
      </c>
      <c r="W70">
        <f t="shared" si="40"/>
        <v>6475906517800.001</v>
      </c>
      <c r="Z70" s="32">
        <v>24.564501156599999</v>
      </c>
      <c r="AA70" s="32" t="str">
        <f t="shared" si="41"/>
        <v/>
      </c>
      <c r="AB70" s="32" t="e">
        <f t="shared" si="42"/>
        <v>#N/A</v>
      </c>
      <c r="AC70" s="32" t="e">
        <f t="shared" si="43"/>
        <v>#N/A</v>
      </c>
      <c r="AD70" s="32" t="e">
        <f t="shared" si="44"/>
        <v>#N/A</v>
      </c>
      <c r="AE70" s="32">
        <v>6.4759065178000004</v>
      </c>
    </row>
    <row r="71" spans="2:31" ht="15" x14ac:dyDescent="0.35">
      <c r="B71" t="str">
        <f t="shared" si="30"/>
        <v>iBoxx EUR Corporates Net Zero 2050 Paris-Aligned ESG Index67</v>
      </c>
      <c r="C71" t="s">
        <v>533</v>
      </c>
      <c r="D71" t="s">
        <v>163</v>
      </c>
      <c r="E71" t="s">
        <v>534</v>
      </c>
      <c r="F71">
        <v>67</v>
      </c>
      <c r="G71" t="s">
        <v>535</v>
      </c>
      <c r="H71" s="26">
        <v>45535</v>
      </c>
      <c r="I71" s="33">
        <v>23888874.2192</v>
      </c>
      <c r="J71" s="33">
        <f t="shared" si="31"/>
        <v>11944437.1096</v>
      </c>
      <c r="K71" s="33">
        <f t="shared" si="32"/>
        <v>6601909.007591363</v>
      </c>
      <c r="L71" s="33">
        <f t="shared" si="33"/>
        <v>6601909.007591363</v>
      </c>
      <c r="M71" s="33">
        <f t="shared" si="34"/>
        <v>6436861.2824015785</v>
      </c>
      <c r="N71" s="33">
        <v>6133099.443</v>
      </c>
      <c r="O71" s="40">
        <v>0.32600000000000001</v>
      </c>
      <c r="P71" s="155" t="s">
        <v>536</v>
      </c>
      <c r="R71">
        <f t="shared" si="35"/>
        <v>23888874219200</v>
      </c>
      <c r="S71">
        <f t="shared" si="36"/>
        <v>11944437109600</v>
      </c>
      <c r="T71">
        <f t="shared" si="37"/>
        <v>6601909007591.3633</v>
      </c>
      <c r="U71">
        <f t="shared" si="38"/>
        <v>6601909007591.3633</v>
      </c>
      <c r="V71">
        <f t="shared" si="39"/>
        <v>6436861282401.5781</v>
      </c>
      <c r="W71">
        <f t="shared" si="40"/>
        <v>6133099443000</v>
      </c>
      <c r="Z71" s="32">
        <v>23.888874219200002</v>
      </c>
      <c r="AA71" s="32" t="str">
        <f t="shared" si="41"/>
        <v/>
      </c>
      <c r="AB71" s="32" t="e">
        <f t="shared" si="42"/>
        <v>#N/A</v>
      </c>
      <c r="AC71" s="32" t="e">
        <f t="shared" si="43"/>
        <v>#N/A</v>
      </c>
      <c r="AD71" s="32" t="e">
        <f t="shared" si="44"/>
        <v>#N/A</v>
      </c>
      <c r="AE71" s="32">
        <v>6.1330994429999999</v>
      </c>
    </row>
    <row r="72" spans="2:31" ht="15" x14ac:dyDescent="0.35">
      <c r="B72" t="str">
        <f t="shared" si="30"/>
        <v>iBoxx EUR Corporates Net Zero 2050 Paris-Aligned ESG Index68</v>
      </c>
      <c r="C72" t="s">
        <v>533</v>
      </c>
      <c r="D72" t="s">
        <v>163</v>
      </c>
      <c r="E72" t="s">
        <v>534</v>
      </c>
      <c r="F72">
        <v>68</v>
      </c>
      <c r="G72" t="s">
        <v>535</v>
      </c>
      <c r="H72" s="26">
        <v>45565</v>
      </c>
      <c r="I72" s="33">
        <v>23145208.9252</v>
      </c>
      <c r="J72" s="33">
        <f t="shared" si="31"/>
        <v>11572604.4626</v>
      </c>
      <c r="K72" s="33">
        <f t="shared" si="32"/>
        <v>6562104.064360057</v>
      </c>
      <c r="L72" s="33">
        <f t="shared" si="33"/>
        <v>6562104.064360057</v>
      </c>
      <c r="M72" s="33">
        <f t="shared" si="34"/>
        <v>6398051.4627510551</v>
      </c>
      <c r="N72" s="33">
        <v>6398051.4627999999</v>
      </c>
      <c r="O72" s="40">
        <v>0.32305</v>
      </c>
      <c r="P72" s="155" t="s">
        <v>536</v>
      </c>
      <c r="R72">
        <f t="shared" si="35"/>
        <v>23145208925200</v>
      </c>
      <c r="S72">
        <f t="shared" si="36"/>
        <v>11572604462600</v>
      </c>
      <c r="T72">
        <f t="shared" si="37"/>
        <v>6562104064360.0566</v>
      </c>
      <c r="U72">
        <f t="shared" si="38"/>
        <v>6562104064360.0566</v>
      </c>
      <c r="V72">
        <f t="shared" si="39"/>
        <v>6398051462751.0547</v>
      </c>
      <c r="W72">
        <f t="shared" si="40"/>
        <v>6398051462800</v>
      </c>
      <c r="Z72" s="32">
        <v>23.145208925199999</v>
      </c>
      <c r="AA72" s="32" t="str">
        <f t="shared" si="41"/>
        <v/>
      </c>
      <c r="AB72" s="32" t="e">
        <f t="shared" si="42"/>
        <v>#N/A</v>
      </c>
      <c r="AC72" s="32" t="e">
        <f t="shared" si="43"/>
        <v>#N/A</v>
      </c>
      <c r="AD72" s="32" t="e">
        <f t="shared" si="44"/>
        <v>#N/A</v>
      </c>
      <c r="AE72" s="32">
        <v>6.3980514627999998</v>
      </c>
    </row>
    <row r="73" spans="2:31" ht="15" x14ac:dyDescent="0.35">
      <c r="B73" t="str">
        <f t="shared" si="30"/>
        <v>iBoxx EUR Corporates Net Zero 2050 Paris-Aligned ESG Index69</v>
      </c>
      <c r="C73" t="s">
        <v>533</v>
      </c>
      <c r="D73" t="s">
        <v>163</v>
      </c>
      <c r="E73" t="s">
        <v>534</v>
      </c>
      <c r="F73">
        <v>69</v>
      </c>
      <c r="G73" t="s">
        <v>535</v>
      </c>
      <c r="H73" s="26">
        <v>45596</v>
      </c>
      <c r="I73" s="33">
        <v>23467452.087699998</v>
      </c>
      <c r="J73" s="33">
        <f t="shared" si="31"/>
        <v>11733726.043849999</v>
      </c>
      <c r="K73" s="33">
        <f t="shared" si="32"/>
        <v>6522539.1173940469</v>
      </c>
      <c r="L73" s="33">
        <f t="shared" si="33"/>
        <v>6522539.1173940469</v>
      </c>
      <c r="M73" s="33">
        <f t="shared" si="34"/>
        <v>6359475.6394591955</v>
      </c>
      <c r="N73" s="33">
        <v>6359475.6395000005</v>
      </c>
      <c r="O73" s="40">
        <v>0.32171</v>
      </c>
      <c r="P73" s="155" t="s">
        <v>536</v>
      </c>
      <c r="R73">
        <f t="shared" si="35"/>
        <v>23467452087700</v>
      </c>
      <c r="S73">
        <f t="shared" si="36"/>
        <v>11733726043850</v>
      </c>
      <c r="T73">
        <f t="shared" si="37"/>
        <v>6522539117394.0469</v>
      </c>
      <c r="U73">
        <f t="shared" si="38"/>
        <v>6522539117394.0469</v>
      </c>
      <c r="V73">
        <f t="shared" si="39"/>
        <v>6359475639459.1953</v>
      </c>
      <c r="W73">
        <f t="shared" si="40"/>
        <v>6359475639500.001</v>
      </c>
      <c r="Z73" s="32">
        <v>23.4674520877</v>
      </c>
      <c r="AA73" s="32" t="str">
        <f t="shared" si="41"/>
        <v/>
      </c>
      <c r="AB73" s="32" t="e">
        <f t="shared" si="42"/>
        <v>#N/A</v>
      </c>
      <c r="AC73" s="32" t="e">
        <f t="shared" si="43"/>
        <v>#N/A</v>
      </c>
      <c r="AD73" s="32" t="e">
        <f t="shared" si="44"/>
        <v>#N/A</v>
      </c>
      <c r="AE73" s="32">
        <v>6.3594756395000003</v>
      </c>
    </row>
    <row r="74" spans="2:31" ht="15" x14ac:dyDescent="0.35">
      <c r="B74" t="str">
        <f t="shared" si="30"/>
        <v>iBoxx EUR Corporates Net Zero 2050 Paris-Aligned ESG Index70</v>
      </c>
      <c r="C74" t="s">
        <v>533</v>
      </c>
      <c r="D74" t="s">
        <v>163</v>
      </c>
      <c r="E74" t="s">
        <v>534</v>
      </c>
      <c r="F74">
        <v>70</v>
      </c>
      <c r="G74" t="s">
        <v>535</v>
      </c>
      <c r="H74" s="26">
        <v>45626</v>
      </c>
      <c r="I74" s="33">
        <v>23816846.287799999</v>
      </c>
      <c r="J74" s="33">
        <f t="shared" si="31"/>
        <v>11908423.1439</v>
      </c>
      <c r="K74" s="33">
        <f t="shared" si="32"/>
        <v>6483212.7196819149</v>
      </c>
      <c r="L74" s="33">
        <f t="shared" si="33"/>
        <v>6483212.7196819149</v>
      </c>
      <c r="M74" s="33">
        <f t="shared" si="34"/>
        <v>6321132.4016898666</v>
      </c>
      <c r="N74" s="33">
        <v>6321132.4017000003</v>
      </c>
      <c r="O74" s="156">
        <v>0.32181892200000001</v>
      </c>
      <c r="P74" s="155" t="s">
        <v>536</v>
      </c>
      <c r="R74">
        <f t="shared" si="35"/>
        <v>23816846287800</v>
      </c>
      <c r="S74">
        <f t="shared" si="36"/>
        <v>11908423143900</v>
      </c>
      <c r="T74">
        <f t="shared" si="37"/>
        <v>6483212719681.915</v>
      </c>
      <c r="U74">
        <f t="shared" si="38"/>
        <v>6483212719681.915</v>
      </c>
      <c r="V74">
        <f t="shared" si="39"/>
        <v>6321132401689.8662</v>
      </c>
      <c r="W74">
        <f t="shared" si="40"/>
        <v>6321132401700</v>
      </c>
      <c r="Z74" s="32"/>
      <c r="AA74" s="32" t="str">
        <f t="shared" si="41"/>
        <v/>
      </c>
      <c r="AB74" s="32" t="e">
        <f t="shared" si="42"/>
        <v>#N/A</v>
      </c>
      <c r="AC74" s="32" t="e">
        <f t="shared" si="43"/>
        <v>#N/A</v>
      </c>
      <c r="AD74" s="32" t="e">
        <f t="shared" si="44"/>
        <v>#N/A</v>
      </c>
      <c r="AE74" s="32"/>
    </row>
    <row r="75" spans="2:31" ht="15" x14ac:dyDescent="0.35">
      <c r="B75" t="str">
        <f t="shared" si="30"/>
        <v>iBoxx EUR Corporates Net Zero 2050 Paris-Aligned ESG Index71</v>
      </c>
      <c r="C75" t="s">
        <v>533</v>
      </c>
      <c r="D75" t="s">
        <v>163</v>
      </c>
      <c r="E75" t="s">
        <v>534</v>
      </c>
      <c r="F75">
        <v>71</v>
      </c>
      <c r="G75" t="s">
        <v>535</v>
      </c>
      <c r="H75" s="26">
        <v>45657</v>
      </c>
      <c r="I75" s="33"/>
      <c r="J75" s="33">
        <f t="shared" si="31"/>
        <v>0</v>
      </c>
      <c r="K75" s="33">
        <f t="shared" si="32"/>
        <v>6444123.4329367196</v>
      </c>
      <c r="L75" s="33">
        <f t="shared" si="33"/>
        <v>0</v>
      </c>
      <c r="M75" s="33">
        <f t="shared" si="34"/>
        <v>0</v>
      </c>
      <c r="N75" s="33"/>
      <c r="O75" s="40"/>
      <c r="P75" s="155" t="s">
        <v>536</v>
      </c>
      <c r="R75">
        <f t="shared" si="35"/>
        <v>0</v>
      </c>
      <c r="S75">
        <f t="shared" si="36"/>
        <v>0</v>
      </c>
      <c r="T75">
        <f t="shared" si="37"/>
        <v>6444123432936.7197</v>
      </c>
      <c r="U75">
        <f t="shared" si="38"/>
        <v>0</v>
      </c>
      <c r="V75">
        <f t="shared" si="39"/>
        <v>0</v>
      </c>
      <c r="W75">
        <f t="shared" si="40"/>
        <v>0</v>
      </c>
      <c r="Z75" s="32"/>
      <c r="AA75" s="32" t="str">
        <f t="shared" si="41"/>
        <v/>
      </c>
      <c r="AB75" s="32" t="e">
        <f t="shared" si="42"/>
        <v>#N/A</v>
      </c>
      <c r="AC75" s="32" t="e">
        <f t="shared" si="43"/>
        <v>#N/A</v>
      </c>
      <c r="AD75" s="32" t="e">
        <f t="shared" si="44"/>
        <v>#N/A</v>
      </c>
      <c r="AE75" s="32"/>
    </row>
    <row r="76" spans="2:31" ht="15" x14ac:dyDescent="0.35">
      <c r="B76" t="str">
        <f t="shared" si="30"/>
        <v>iBoxx EUR Corporates Net Zero 2050 Paris-Aligned ESG Index72</v>
      </c>
      <c r="C76" t="s">
        <v>533</v>
      </c>
      <c r="D76" t="s">
        <v>163</v>
      </c>
      <c r="E76" t="s">
        <v>534</v>
      </c>
      <c r="F76">
        <v>72</v>
      </c>
      <c r="G76" t="s">
        <v>535</v>
      </c>
      <c r="H76" s="26">
        <v>45688</v>
      </c>
      <c r="I76" s="33"/>
      <c r="J76" s="33">
        <f t="shared" si="31"/>
        <v>0</v>
      </c>
      <c r="K76" s="33">
        <f t="shared" si="32"/>
        <v>6405269.8275433974</v>
      </c>
      <c r="L76" s="33">
        <f t="shared" si="33"/>
        <v>0</v>
      </c>
      <c r="M76" s="33">
        <f t="shared" si="34"/>
        <v>0</v>
      </c>
      <c r="N76" s="33"/>
      <c r="O76" s="40"/>
      <c r="P76" s="155" t="s">
        <v>536</v>
      </c>
      <c r="R76">
        <f t="shared" si="35"/>
        <v>0</v>
      </c>
      <c r="S76">
        <f t="shared" si="36"/>
        <v>0</v>
      </c>
      <c r="T76">
        <f t="shared" si="37"/>
        <v>6405269827543.3975</v>
      </c>
      <c r="U76">
        <f t="shared" si="38"/>
        <v>0</v>
      </c>
      <c r="V76">
        <f t="shared" si="39"/>
        <v>0</v>
      </c>
      <c r="W76">
        <f t="shared" si="40"/>
        <v>0</v>
      </c>
      <c r="Z76" s="32"/>
      <c r="AA76" s="32" t="str">
        <f t="shared" si="41"/>
        <v/>
      </c>
      <c r="AB76" s="32" t="e">
        <f t="shared" si="42"/>
        <v>#N/A</v>
      </c>
      <c r="AC76" s="32" t="e">
        <f t="shared" si="43"/>
        <v>#N/A</v>
      </c>
      <c r="AD76" s="32" t="e">
        <f t="shared" si="44"/>
        <v>#N/A</v>
      </c>
      <c r="AE76" s="32"/>
    </row>
    <row r="77" spans="2:31" ht="15" x14ac:dyDescent="0.35">
      <c r="B77" t="str">
        <f t="shared" si="30"/>
        <v>iBoxx EUR Corporates Net Zero 2050 Paris-Aligned ESG Index73</v>
      </c>
      <c r="C77" t="s">
        <v>533</v>
      </c>
      <c r="D77" t="s">
        <v>163</v>
      </c>
      <c r="E77" t="s">
        <v>534</v>
      </c>
      <c r="F77">
        <v>73</v>
      </c>
      <c r="G77" t="s">
        <v>535</v>
      </c>
      <c r="H77" s="26">
        <v>45716</v>
      </c>
      <c r="I77" s="33"/>
      <c r="J77" s="33">
        <f t="shared" si="31"/>
        <v>0</v>
      </c>
      <c r="K77" s="33">
        <f t="shared" si="32"/>
        <v>6366650.4825064698</v>
      </c>
      <c r="L77" s="33">
        <f t="shared" si="33"/>
        <v>0</v>
      </c>
      <c r="M77" s="33">
        <f t="shared" si="34"/>
        <v>0</v>
      </c>
      <c r="N77" s="33"/>
      <c r="O77" s="40"/>
      <c r="P77" s="155" t="s">
        <v>536</v>
      </c>
      <c r="R77">
        <f t="shared" si="35"/>
        <v>0</v>
      </c>
      <c r="S77">
        <f t="shared" si="36"/>
        <v>0</v>
      </c>
      <c r="T77">
        <f t="shared" si="37"/>
        <v>6366650482506.4697</v>
      </c>
      <c r="U77">
        <f t="shared" si="38"/>
        <v>0</v>
      </c>
      <c r="V77">
        <f t="shared" si="39"/>
        <v>0</v>
      </c>
      <c r="W77">
        <f t="shared" si="40"/>
        <v>0</v>
      </c>
      <c r="Z77" s="32"/>
      <c r="AA77" s="32" t="str">
        <f t="shared" si="41"/>
        <v/>
      </c>
      <c r="AB77" s="32" t="e">
        <f t="shared" si="42"/>
        <v>#N/A</v>
      </c>
      <c r="AC77" s="32" t="e">
        <f t="shared" si="43"/>
        <v>#N/A</v>
      </c>
      <c r="AD77" s="32" t="e">
        <f t="shared" si="44"/>
        <v>#N/A</v>
      </c>
      <c r="AE77" s="32"/>
    </row>
    <row r="78" spans="2:31" ht="15" x14ac:dyDescent="0.35">
      <c r="B78" t="str">
        <f t="shared" si="30"/>
        <v>iBoxx EUR Corporates Net Zero 2050 Paris-Aligned ESG Index74</v>
      </c>
      <c r="C78" t="s">
        <v>533</v>
      </c>
      <c r="D78" t="s">
        <v>163</v>
      </c>
      <c r="E78" t="s">
        <v>534</v>
      </c>
      <c r="F78">
        <v>74</v>
      </c>
      <c r="G78" t="s">
        <v>535</v>
      </c>
      <c r="H78" s="26">
        <v>45747</v>
      </c>
      <c r="I78" s="33"/>
      <c r="J78" s="33">
        <f t="shared" si="31"/>
        <v>0</v>
      </c>
      <c r="K78" s="33">
        <f t="shared" si="32"/>
        <v>6328263.985398083</v>
      </c>
      <c r="L78" s="33">
        <f t="shared" si="33"/>
        <v>0</v>
      </c>
      <c r="M78" s="33">
        <f t="shared" si="34"/>
        <v>0</v>
      </c>
      <c r="N78" s="33"/>
      <c r="O78" s="40"/>
      <c r="P78" s="155" t="s">
        <v>536</v>
      </c>
      <c r="R78">
        <f t="shared" si="35"/>
        <v>0</v>
      </c>
      <c r="S78">
        <f t="shared" si="36"/>
        <v>0</v>
      </c>
      <c r="T78">
        <f t="shared" si="37"/>
        <v>6328263985398.083</v>
      </c>
      <c r="U78">
        <f t="shared" si="38"/>
        <v>0</v>
      </c>
      <c r="V78">
        <f t="shared" si="39"/>
        <v>0</v>
      </c>
      <c r="W78">
        <f t="shared" si="40"/>
        <v>0</v>
      </c>
      <c r="Z78" s="32"/>
      <c r="AA78" s="32" t="str">
        <f t="shared" si="41"/>
        <v/>
      </c>
      <c r="AB78" s="32" t="e">
        <f t="shared" si="42"/>
        <v>#N/A</v>
      </c>
      <c r="AC78" s="32" t="e">
        <f t="shared" si="43"/>
        <v>#N/A</v>
      </c>
      <c r="AD78" s="32" t="e">
        <f t="shared" si="44"/>
        <v>#N/A</v>
      </c>
      <c r="AE78" s="32"/>
    </row>
    <row r="79" spans="2:31" ht="15" x14ac:dyDescent="0.35">
      <c r="B79" t="str">
        <f t="shared" si="30"/>
        <v>iBoxx EUR Corporates Net Zero 2050 Paris-Aligned ESG Index75</v>
      </c>
      <c r="C79" t="s">
        <v>533</v>
      </c>
      <c r="D79" t="s">
        <v>163</v>
      </c>
      <c r="E79" t="s">
        <v>534</v>
      </c>
      <c r="F79">
        <v>75</v>
      </c>
      <c r="G79" t="s">
        <v>535</v>
      </c>
      <c r="H79" s="26">
        <v>45777</v>
      </c>
      <c r="I79" s="33"/>
      <c r="J79" s="33">
        <f t="shared" si="31"/>
        <v>0</v>
      </c>
      <c r="K79" s="33">
        <f t="shared" si="32"/>
        <v>6290108.9323063409</v>
      </c>
      <c r="L79" s="33">
        <f t="shared" si="33"/>
        <v>0</v>
      </c>
      <c r="M79" s="33">
        <f t="shared" si="34"/>
        <v>0</v>
      </c>
      <c r="N79" s="33"/>
      <c r="O79" s="40"/>
      <c r="P79" s="155" t="s">
        <v>536</v>
      </c>
      <c r="R79">
        <f t="shared" si="35"/>
        <v>0</v>
      </c>
      <c r="S79">
        <f t="shared" si="36"/>
        <v>0</v>
      </c>
      <c r="T79">
        <f t="shared" si="37"/>
        <v>6290108932306.3408</v>
      </c>
      <c r="U79">
        <f t="shared" si="38"/>
        <v>0</v>
      </c>
      <c r="V79">
        <f t="shared" si="39"/>
        <v>0</v>
      </c>
      <c r="W79">
        <f t="shared" si="40"/>
        <v>0</v>
      </c>
      <c r="Z79" s="32"/>
      <c r="AA79" s="32" t="str">
        <f t="shared" si="41"/>
        <v/>
      </c>
      <c r="AB79" s="32" t="e">
        <f t="shared" si="42"/>
        <v>#N/A</v>
      </c>
      <c r="AC79" s="32" t="e">
        <f t="shared" si="43"/>
        <v>#N/A</v>
      </c>
      <c r="AD79" s="32" t="e">
        <f t="shared" si="44"/>
        <v>#N/A</v>
      </c>
      <c r="AE79" s="32"/>
    </row>
    <row r="80" spans="2:31" ht="15" x14ac:dyDescent="0.35">
      <c r="B80" t="str">
        <f t="shared" si="30"/>
        <v>iBoxx EUR Corporates Net Zero 2050 Paris-Aligned ESG Index76</v>
      </c>
      <c r="C80" t="s">
        <v>533</v>
      </c>
      <c r="D80" t="s">
        <v>163</v>
      </c>
      <c r="E80" t="s">
        <v>534</v>
      </c>
      <c r="F80">
        <v>76</v>
      </c>
      <c r="G80" t="s">
        <v>535</v>
      </c>
      <c r="H80" s="26">
        <v>45808</v>
      </c>
      <c r="I80" s="33"/>
      <c r="J80" s="33">
        <f t="shared" si="31"/>
        <v>0</v>
      </c>
      <c r="K80" s="33">
        <f t="shared" si="32"/>
        <v>6252183.9277839707</v>
      </c>
      <c r="L80" s="33">
        <f t="shared" si="33"/>
        <v>0</v>
      </c>
      <c r="M80" s="33">
        <f t="shared" si="34"/>
        <v>0</v>
      </c>
      <c r="N80" s="33"/>
      <c r="O80" s="40"/>
      <c r="P80" s="155" t="s">
        <v>536</v>
      </c>
      <c r="R80">
        <f t="shared" si="35"/>
        <v>0</v>
      </c>
      <c r="S80">
        <f t="shared" si="36"/>
        <v>0</v>
      </c>
      <c r="T80">
        <f t="shared" si="37"/>
        <v>6252183927783.9707</v>
      </c>
      <c r="U80">
        <f t="shared" si="38"/>
        <v>0</v>
      </c>
      <c r="V80">
        <f t="shared" si="39"/>
        <v>0</v>
      </c>
      <c r="W80">
        <f t="shared" si="40"/>
        <v>0</v>
      </c>
      <c r="Z80" s="32"/>
      <c r="AA80" s="32" t="str">
        <f t="shared" si="41"/>
        <v/>
      </c>
      <c r="AB80" s="32" t="e">
        <f t="shared" si="42"/>
        <v>#N/A</v>
      </c>
      <c r="AC80" s="32" t="e">
        <f t="shared" si="43"/>
        <v>#N/A</v>
      </c>
      <c r="AD80" s="32" t="e">
        <f t="shared" si="44"/>
        <v>#N/A</v>
      </c>
      <c r="AE80" s="32"/>
    </row>
    <row r="81" spans="2:31" ht="15" x14ac:dyDescent="0.35">
      <c r="B81" t="str">
        <f t="shared" si="30"/>
        <v>iBoxx EUR Corporates Net Zero 2050 Paris-Aligned ESG Index77</v>
      </c>
      <c r="C81" t="s">
        <v>533</v>
      </c>
      <c r="D81" t="s">
        <v>163</v>
      </c>
      <c r="E81" t="s">
        <v>534</v>
      </c>
      <c r="F81">
        <v>77</v>
      </c>
      <c r="G81" t="s">
        <v>535</v>
      </c>
      <c r="H81" s="26">
        <v>45838</v>
      </c>
      <c r="I81" s="33"/>
      <c r="J81" s="33">
        <f t="shared" si="31"/>
        <v>0</v>
      </c>
      <c r="K81" s="33">
        <f t="shared" si="32"/>
        <v>6214487.5847972734</v>
      </c>
      <c r="L81" s="33">
        <f t="shared" si="33"/>
        <v>0</v>
      </c>
      <c r="M81" s="33">
        <f t="shared" si="34"/>
        <v>0</v>
      </c>
      <c r="N81" s="33"/>
      <c r="O81" s="40"/>
      <c r="P81" s="155" t="s">
        <v>536</v>
      </c>
      <c r="R81">
        <f t="shared" si="35"/>
        <v>0</v>
      </c>
      <c r="S81">
        <f t="shared" si="36"/>
        <v>0</v>
      </c>
      <c r="T81">
        <f t="shared" si="37"/>
        <v>6214487584797.2734</v>
      </c>
      <c r="U81">
        <f t="shared" si="38"/>
        <v>0</v>
      </c>
      <c r="V81">
        <f t="shared" si="39"/>
        <v>0</v>
      </c>
      <c r="W81">
        <f t="shared" si="40"/>
        <v>0</v>
      </c>
      <c r="Z81" s="32"/>
      <c r="AA81" s="32" t="str">
        <f t="shared" si="41"/>
        <v/>
      </c>
      <c r="AB81" s="32" t="e">
        <f t="shared" si="42"/>
        <v>#N/A</v>
      </c>
      <c r="AC81" s="32" t="e">
        <f t="shared" si="43"/>
        <v>#N/A</v>
      </c>
      <c r="AD81" s="32" t="e">
        <f t="shared" si="44"/>
        <v>#N/A</v>
      </c>
      <c r="AE81" s="32"/>
    </row>
    <row r="82" spans="2:31" ht="15" x14ac:dyDescent="0.35">
      <c r="B82" t="str">
        <f t="shared" si="30"/>
        <v>iBoxx EUR Corporates Net Zero 2050 Paris-Aligned ESG Index78</v>
      </c>
      <c r="C82" t="s">
        <v>533</v>
      </c>
      <c r="D82" t="s">
        <v>163</v>
      </c>
      <c r="E82" t="s">
        <v>534</v>
      </c>
      <c r="F82">
        <v>78</v>
      </c>
      <c r="G82" t="s">
        <v>535</v>
      </c>
      <c r="H82" s="26">
        <v>45869</v>
      </c>
      <c r="I82" s="33"/>
      <c r="J82" s="33">
        <f t="shared" si="31"/>
        <v>0</v>
      </c>
      <c r="K82" s="33">
        <f t="shared" si="32"/>
        <v>6177018.5246754084</v>
      </c>
      <c r="L82" s="33">
        <f t="shared" si="33"/>
        <v>0</v>
      </c>
      <c r="M82" s="33">
        <f t="shared" si="34"/>
        <v>0</v>
      </c>
      <c r="N82" s="33"/>
      <c r="O82" s="40"/>
      <c r="P82" s="155" t="s">
        <v>536</v>
      </c>
      <c r="R82">
        <f t="shared" si="35"/>
        <v>0</v>
      </c>
      <c r="S82">
        <f t="shared" si="36"/>
        <v>0</v>
      </c>
      <c r="T82">
        <f t="shared" si="37"/>
        <v>6177018524675.4082</v>
      </c>
      <c r="U82">
        <f t="shared" si="38"/>
        <v>0</v>
      </c>
      <c r="V82">
        <f t="shared" si="39"/>
        <v>0</v>
      </c>
      <c r="W82">
        <f t="shared" si="40"/>
        <v>0</v>
      </c>
      <c r="Z82" s="32"/>
      <c r="AA82" s="32" t="str">
        <f t="shared" si="41"/>
        <v/>
      </c>
      <c r="AB82" s="32" t="e">
        <f t="shared" si="42"/>
        <v>#N/A</v>
      </c>
      <c r="AC82" s="32" t="e">
        <f t="shared" si="43"/>
        <v>#N/A</v>
      </c>
      <c r="AD82" s="32" t="e">
        <f t="shared" si="44"/>
        <v>#N/A</v>
      </c>
      <c r="AE82" s="32"/>
    </row>
    <row r="83" spans="2:31" ht="15" x14ac:dyDescent="0.35">
      <c r="B83" t="str">
        <f t="shared" si="30"/>
        <v>iBoxx EUR Corporates Net Zero 2050 Paris-Aligned ESG Index79</v>
      </c>
      <c r="C83" t="s">
        <v>533</v>
      </c>
      <c r="D83" t="s">
        <v>163</v>
      </c>
      <c r="E83" t="s">
        <v>534</v>
      </c>
      <c r="F83">
        <v>79</v>
      </c>
      <c r="G83" t="s">
        <v>535</v>
      </c>
      <c r="H83" s="26">
        <v>45900</v>
      </c>
      <c r="I83" s="33"/>
      <c r="J83" s="33">
        <f t="shared" si="31"/>
        <v>0</v>
      </c>
      <c r="K83" s="33">
        <f t="shared" si="32"/>
        <v>6139775.3770599682</v>
      </c>
      <c r="L83" s="33">
        <f t="shared" si="33"/>
        <v>0</v>
      </c>
      <c r="M83" s="33">
        <f t="shared" si="34"/>
        <v>0</v>
      </c>
      <c r="N83" s="33"/>
      <c r="O83" s="40"/>
      <c r="P83" s="155" t="s">
        <v>536</v>
      </c>
      <c r="R83">
        <f t="shared" si="35"/>
        <v>0</v>
      </c>
      <c r="S83">
        <f t="shared" si="36"/>
        <v>0</v>
      </c>
      <c r="T83">
        <f t="shared" si="37"/>
        <v>6139775377059.9678</v>
      </c>
      <c r="U83">
        <f t="shared" si="38"/>
        <v>0</v>
      </c>
      <c r="V83">
        <f t="shared" si="39"/>
        <v>0</v>
      </c>
      <c r="W83">
        <f t="shared" si="40"/>
        <v>0</v>
      </c>
      <c r="Z83" s="32"/>
      <c r="AA83" s="32" t="str">
        <f t="shared" si="41"/>
        <v/>
      </c>
      <c r="AB83" s="32" t="e">
        <f t="shared" si="42"/>
        <v>#N/A</v>
      </c>
      <c r="AC83" s="32" t="e">
        <f t="shared" si="43"/>
        <v>#N/A</v>
      </c>
      <c r="AD83" s="32" t="e">
        <f t="shared" si="44"/>
        <v>#N/A</v>
      </c>
      <c r="AE83" s="32"/>
    </row>
    <row r="84" spans="2:31" ht="15" x14ac:dyDescent="0.35">
      <c r="B84" t="str">
        <f t="shared" si="30"/>
        <v>iBoxx EUR Corporates Net Zero 2050 Paris-Aligned ESG Index80</v>
      </c>
      <c r="C84" t="s">
        <v>533</v>
      </c>
      <c r="D84" t="s">
        <v>163</v>
      </c>
      <c r="E84" t="s">
        <v>534</v>
      </c>
      <c r="F84">
        <v>80</v>
      </c>
      <c r="G84" t="s">
        <v>535</v>
      </c>
      <c r="H84" s="26">
        <v>45930</v>
      </c>
      <c r="I84" s="33"/>
      <c r="J84" s="33">
        <f t="shared" si="31"/>
        <v>0</v>
      </c>
      <c r="K84" s="33">
        <f t="shared" si="32"/>
        <v>6102756.7798548527</v>
      </c>
      <c r="L84" s="33">
        <f t="shared" si="33"/>
        <v>0</v>
      </c>
      <c r="M84" s="33">
        <f t="shared" si="34"/>
        <v>0</v>
      </c>
      <c r="N84" s="33"/>
      <c r="O84" s="40"/>
      <c r="P84" s="155" t="s">
        <v>536</v>
      </c>
      <c r="R84">
        <f t="shared" si="35"/>
        <v>0</v>
      </c>
      <c r="S84">
        <f t="shared" si="36"/>
        <v>0</v>
      </c>
      <c r="T84">
        <f t="shared" si="37"/>
        <v>6102756779854.8525</v>
      </c>
      <c r="U84">
        <f t="shared" si="38"/>
        <v>0</v>
      </c>
      <c r="V84">
        <f t="shared" si="39"/>
        <v>0</v>
      </c>
      <c r="W84">
        <f t="shared" si="40"/>
        <v>0</v>
      </c>
      <c r="Z84" s="32"/>
      <c r="AA84" s="32" t="str">
        <f t="shared" si="41"/>
        <v/>
      </c>
      <c r="AB84" s="32" t="e">
        <f t="shared" si="42"/>
        <v>#N/A</v>
      </c>
      <c r="AC84" s="32" t="e">
        <f t="shared" si="43"/>
        <v>#N/A</v>
      </c>
      <c r="AD84" s="32" t="e">
        <f t="shared" si="44"/>
        <v>#N/A</v>
      </c>
      <c r="AE84" s="32"/>
    </row>
    <row r="85" spans="2:31" ht="15" x14ac:dyDescent="0.35">
      <c r="B85" t="str">
        <f t="shared" si="30"/>
        <v>iBoxx EUR Corporates Net Zero 2050 Paris-Aligned ESG Index81</v>
      </c>
      <c r="C85" t="s">
        <v>533</v>
      </c>
      <c r="D85" t="s">
        <v>163</v>
      </c>
      <c r="E85" t="s">
        <v>534</v>
      </c>
      <c r="F85">
        <v>81</v>
      </c>
      <c r="G85" t="s">
        <v>535</v>
      </c>
      <c r="H85" s="26">
        <v>45961</v>
      </c>
      <c r="I85" s="33"/>
      <c r="J85" s="33">
        <f t="shared" si="31"/>
        <v>0</v>
      </c>
      <c r="K85" s="33">
        <f t="shared" si="32"/>
        <v>6065961.3791764639</v>
      </c>
      <c r="L85" s="33">
        <f t="shared" si="33"/>
        <v>0</v>
      </c>
      <c r="M85" s="33">
        <f t="shared" si="34"/>
        <v>0</v>
      </c>
      <c r="N85" s="33"/>
      <c r="O85" s="40"/>
      <c r="P85" s="155" t="s">
        <v>536</v>
      </c>
      <c r="R85">
        <f t="shared" si="35"/>
        <v>0</v>
      </c>
      <c r="S85">
        <f t="shared" si="36"/>
        <v>0</v>
      </c>
      <c r="T85">
        <f t="shared" si="37"/>
        <v>6065961379176.4639</v>
      </c>
      <c r="U85">
        <f t="shared" si="38"/>
        <v>0</v>
      </c>
      <c r="V85">
        <f t="shared" si="39"/>
        <v>0</v>
      </c>
      <c r="W85">
        <f t="shared" si="40"/>
        <v>0</v>
      </c>
      <c r="Z85" s="32"/>
      <c r="AA85" s="32" t="str">
        <f t="shared" si="41"/>
        <v/>
      </c>
      <c r="AB85" s="32" t="e">
        <f t="shared" si="42"/>
        <v>#N/A</v>
      </c>
      <c r="AC85" s="32" t="e">
        <f t="shared" si="43"/>
        <v>#N/A</v>
      </c>
      <c r="AD85" s="32" t="e">
        <f t="shared" si="44"/>
        <v>#N/A</v>
      </c>
      <c r="AE85" s="32"/>
    </row>
    <row r="86" spans="2:31" ht="15" x14ac:dyDescent="0.35">
      <c r="B86" t="str">
        <f t="shared" si="30"/>
        <v>iBoxx EUR Corporates Net Zero 2050 Paris-Aligned ESG Index82</v>
      </c>
      <c r="C86" t="s">
        <v>533</v>
      </c>
      <c r="D86" t="s">
        <v>163</v>
      </c>
      <c r="E86" t="s">
        <v>534</v>
      </c>
      <c r="F86">
        <v>82</v>
      </c>
      <c r="G86" t="s">
        <v>535</v>
      </c>
      <c r="H86" s="26">
        <v>45991</v>
      </c>
      <c r="I86" s="33"/>
      <c r="J86" s="33">
        <f t="shared" si="31"/>
        <v>0</v>
      </c>
      <c r="K86" s="33">
        <f t="shared" si="32"/>
        <v>6029387.8293041801</v>
      </c>
      <c r="L86" s="33">
        <f t="shared" si="33"/>
        <v>0</v>
      </c>
      <c r="M86" s="33">
        <f t="shared" si="34"/>
        <v>0</v>
      </c>
      <c r="N86" s="33"/>
      <c r="O86" s="40"/>
      <c r="P86" s="155" t="s">
        <v>536</v>
      </c>
      <c r="R86">
        <f t="shared" si="35"/>
        <v>0</v>
      </c>
      <c r="S86">
        <f t="shared" si="36"/>
        <v>0</v>
      </c>
      <c r="T86">
        <f t="shared" si="37"/>
        <v>6029387829304.1797</v>
      </c>
      <c r="U86">
        <f t="shared" si="38"/>
        <v>0</v>
      </c>
      <c r="V86">
        <f t="shared" si="39"/>
        <v>0</v>
      </c>
      <c r="W86">
        <f t="shared" si="40"/>
        <v>0</v>
      </c>
      <c r="Z86" s="32"/>
      <c r="AA86" s="32" t="str">
        <f t="shared" si="41"/>
        <v/>
      </c>
      <c r="AB86" s="32" t="e">
        <f t="shared" si="42"/>
        <v>#N/A</v>
      </c>
      <c r="AC86" s="32" t="e">
        <f t="shared" si="43"/>
        <v>#N/A</v>
      </c>
      <c r="AD86" s="32" t="e">
        <f t="shared" si="44"/>
        <v>#N/A</v>
      </c>
      <c r="AE86" s="32"/>
    </row>
    <row r="87" spans="2:31" ht="15" x14ac:dyDescent="0.35">
      <c r="B87" t="str">
        <f t="shared" si="30"/>
        <v>iBoxx EUR Corporates Net Zero 2050 Paris-Aligned ESG Index83</v>
      </c>
      <c r="C87" t="s">
        <v>533</v>
      </c>
      <c r="D87" t="s">
        <v>163</v>
      </c>
      <c r="E87" t="s">
        <v>534</v>
      </c>
      <c r="F87">
        <v>83</v>
      </c>
      <c r="G87" t="s">
        <v>535</v>
      </c>
      <c r="H87" s="26">
        <v>46022</v>
      </c>
      <c r="I87" s="33"/>
      <c r="J87" s="33">
        <f t="shared" si="31"/>
        <v>0</v>
      </c>
      <c r="K87" s="33">
        <f t="shared" si="32"/>
        <v>5993034.7926311493</v>
      </c>
      <c r="L87" s="33">
        <f t="shared" si="33"/>
        <v>0</v>
      </c>
      <c r="M87" s="33">
        <f t="shared" si="34"/>
        <v>0</v>
      </c>
      <c r="N87" s="33"/>
      <c r="O87" s="40"/>
      <c r="P87" s="155" t="s">
        <v>536</v>
      </c>
      <c r="R87">
        <f t="shared" si="35"/>
        <v>0</v>
      </c>
      <c r="S87">
        <f t="shared" si="36"/>
        <v>0</v>
      </c>
      <c r="T87">
        <f t="shared" si="37"/>
        <v>5993034792631.1494</v>
      </c>
      <c r="U87">
        <f t="shared" si="38"/>
        <v>0</v>
      </c>
      <c r="V87">
        <f t="shared" si="39"/>
        <v>0</v>
      </c>
      <c r="W87">
        <f t="shared" si="40"/>
        <v>0</v>
      </c>
      <c r="Z87" s="32"/>
      <c r="AA87" s="32" t="str">
        <f t="shared" si="41"/>
        <v/>
      </c>
      <c r="AB87" s="32" t="e">
        <f t="shared" si="42"/>
        <v>#N/A</v>
      </c>
      <c r="AC87" s="32" t="e">
        <f t="shared" si="43"/>
        <v>#N/A</v>
      </c>
      <c r="AD87" s="32" t="e">
        <f t="shared" si="44"/>
        <v>#N/A</v>
      </c>
      <c r="AE87" s="32"/>
    </row>
    <row r="88" spans="2:31" ht="15" x14ac:dyDescent="0.35">
      <c r="B88" t="str">
        <f t="shared" si="30"/>
        <v>iBoxx EUR Corporates Net Zero 2050 Paris-Aligned ESG Index84</v>
      </c>
      <c r="C88" t="s">
        <v>533</v>
      </c>
      <c r="D88" t="s">
        <v>163</v>
      </c>
      <c r="E88" t="s">
        <v>534</v>
      </c>
      <c r="F88">
        <v>84</v>
      </c>
      <c r="G88" t="s">
        <v>535</v>
      </c>
      <c r="H88" s="26">
        <v>46053</v>
      </c>
      <c r="I88" s="33"/>
      <c r="J88" s="33">
        <f t="shared" si="31"/>
        <v>0</v>
      </c>
      <c r="K88" s="33">
        <f t="shared" si="32"/>
        <v>5956900.9396153595</v>
      </c>
      <c r="L88" s="33">
        <f t="shared" si="33"/>
        <v>0</v>
      </c>
      <c r="M88" s="33">
        <f t="shared" si="34"/>
        <v>0</v>
      </c>
      <c r="N88" s="33"/>
      <c r="O88" s="40"/>
      <c r="P88" s="155" t="s">
        <v>536</v>
      </c>
      <c r="R88">
        <f t="shared" si="35"/>
        <v>0</v>
      </c>
      <c r="S88">
        <f t="shared" si="36"/>
        <v>0</v>
      </c>
      <c r="T88">
        <f t="shared" si="37"/>
        <v>5956900939615.3594</v>
      </c>
      <c r="U88">
        <f t="shared" si="38"/>
        <v>0</v>
      </c>
      <c r="V88">
        <f t="shared" si="39"/>
        <v>0</v>
      </c>
      <c r="W88">
        <f t="shared" si="40"/>
        <v>0</v>
      </c>
      <c r="Z88" s="32"/>
      <c r="AA88" s="32" t="str">
        <f t="shared" si="41"/>
        <v/>
      </c>
      <c r="AB88" s="32" t="e">
        <f t="shared" si="42"/>
        <v>#N/A</v>
      </c>
      <c r="AC88" s="32" t="e">
        <f t="shared" si="43"/>
        <v>#N/A</v>
      </c>
      <c r="AD88" s="32" t="e">
        <f t="shared" si="44"/>
        <v>#N/A</v>
      </c>
      <c r="AE88" s="32"/>
    </row>
    <row r="89" spans="2:31" ht="15" x14ac:dyDescent="0.35">
      <c r="B89" t="str">
        <f t="shared" si="30"/>
        <v>iBoxx EUR Corporates Net Zero 2050 Paris-Aligned ESG Index85</v>
      </c>
      <c r="C89" t="s">
        <v>533</v>
      </c>
      <c r="D89" t="s">
        <v>163</v>
      </c>
      <c r="E89" t="s">
        <v>534</v>
      </c>
      <c r="F89">
        <v>85</v>
      </c>
      <c r="G89" t="s">
        <v>535</v>
      </c>
      <c r="H89" s="26">
        <v>46081</v>
      </c>
      <c r="I89" s="33"/>
      <c r="J89" s="33">
        <f t="shared" si="31"/>
        <v>0</v>
      </c>
      <c r="K89" s="33">
        <f t="shared" si="32"/>
        <v>5920984.9487310164</v>
      </c>
      <c r="L89" s="33">
        <f t="shared" si="33"/>
        <v>0</v>
      </c>
      <c r="M89" s="33">
        <f t="shared" si="34"/>
        <v>0</v>
      </c>
      <c r="N89" s="33"/>
      <c r="O89" s="40"/>
      <c r="P89" s="155" t="s">
        <v>536</v>
      </c>
      <c r="R89">
        <f t="shared" si="35"/>
        <v>0</v>
      </c>
      <c r="S89">
        <f t="shared" si="36"/>
        <v>0</v>
      </c>
      <c r="T89">
        <f t="shared" si="37"/>
        <v>5920984948731.0166</v>
      </c>
      <c r="U89">
        <f t="shared" si="38"/>
        <v>0</v>
      </c>
      <c r="V89">
        <f t="shared" si="39"/>
        <v>0</v>
      </c>
      <c r="W89">
        <f t="shared" si="40"/>
        <v>0</v>
      </c>
      <c r="Z89" s="32"/>
      <c r="AA89" s="32" t="str">
        <f t="shared" si="41"/>
        <v/>
      </c>
      <c r="AB89" s="32" t="e">
        <f t="shared" si="42"/>
        <v>#N/A</v>
      </c>
      <c r="AC89" s="32" t="e">
        <f t="shared" si="43"/>
        <v>#N/A</v>
      </c>
      <c r="AD89" s="32" t="e">
        <f t="shared" si="44"/>
        <v>#N/A</v>
      </c>
      <c r="AE89" s="32"/>
    </row>
    <row r="90" spans="2:31" ht="15" x14ac:dyDescent="0.35">
      <c r="B90" t="str">
        <f t="shared" si="30"/>
        <v>iBoxx EUR Corporates Net Zero 2050 Paris-Aligned ESG Index86</v>
      </c>
      <c r="C90" t="s">
        <v>533</v>
      </c>
      <c r="D90" t="s">
        <v>163</v>
      </c>
      <c r="E90" t="s">
        <v>534</v>
      </c>
      <c r="F90">
        <v>86</v>
      </c>
      <c r="G90" t="s">
        <v>535</v>
      </c>
      <c r="H90" s="26">
        <v>46112</v>
      </c>
      <c r="I90" s="33"/>
      <c r="J90" s="33">
        <f t="shared" si="31"/>
        <v>0</v>
      </c>
      <c r="K90" s="33">
        <f t="shared" si="32"/>
        <v>5885285.5064202175</v>
      </c>
      <c r="L90" s="33">
        <f t="shared" si="33"/>
        <v>0</v>
      </c>
      <c r="M90" s="33">
        <f t="shared" si="34"/>
        <v>0</v>
      </c>
      <c r="N90" s="33"/>
      <c r="O90" s="40"/>
      <c r="P90" s="155" t="s">
        <v>536</v>
      </c>
      <c r="R90">
        <f t="shared" si="35"/>
        <v>0</v>
      </c>
      <c r="S90">
        <f t="shared" si="36"/>
        <v>0</v>
      </c>
      <c r="T90">
        <f t="shared" si="37"/>
        <v>5885285506420.2178</v>
      </c>
      <c r="U90">
        <f t="shared" si="38"/>
        <v>0</v>
      </c>
      <c r="V90">
        <f t="shared" si="39"/>
        <v>0</v>
      </c>
      <c r="W90">
        <f t="shared" si="40"/>
        <v>0</v>
      </c>
      <c r="Z90" s="32"/>
      <c r="AA90" s="32" t="str">
        <f t="shared" si="41"/>
        <v/>
      </c>
      <c r="AB90" s="32" t="e">
        <f t="shared" si="42"/>
        <v>#N/A</v>
      </c>
      <c r="AC90" s="32" t="e">
        <f t="shared" si="43"/>
        <v>#N/A</v>
      </c>
      <c r="AD90" s="32" t="e">
        <f t="shared" si="44"/>
        <v>#N/A</v>
      </c>
      <c r="AE90" s="32"/>
    </row>
    <row r="91" spans="2:31" ht="15" x14ac:dyDescent="0.35">
      <c r="B91" t="str">
        <f t="shared" si="30"/>
        <v>iBoxx EUR Corporates Net Zero 2050 Paris-Aligned ESG Index87</v>
      </c>
      <c r="C91" t="s">
        <v>533</v>
      </c>
      <c r="D91" t="s">
        <v>163</v>
      </c>
      <c r="E91" t="s">
        <v>534</v>
      </c>
      <c r="F91">
        <v>87</v>
      </c>
      <c r="G91" t="s">
        <v>535</v>
      </c>
      <c r="H91" s="26">
        <v>46142</v>
      </c>
      <c r="I91" s="33"/>
      <c r="J91" s="33">
        <f t="shared" si="31"/>
        <v>0</v>
      </c>
      <c r="K91" s="33">
        <f t="shared" si="32"/>
        <v>5849801.3070448982</v>
      </c>
      <c r="L91" s="33">
        <f t="shared" si="33"/>
        <v>0</v>
      </c>
      <c r="M91" s="33">
        <f t="shared" si="34"/>
        <v>0</v>
      </c>
      <c r="N91" s="33"/>
      <c r="O91" s="40"/>
      <c r="P91" s="155" t="s">
        <v>536</v>
      </c>
      <c r="R91">
        <f t="shared" si="35"/>
        <v>0</v>
      </c>
      <c r="S91">
        <f t="shared" si="36"/>
        <v>0</v>
      </c>
      <c r="T91">
        <f t="shared" si="37"/>
        <v>5849801307044.8984</v>
      </c>
      <c r="U91">
        <f t="shared" si="38"/>
        <v>0</v>
      </c>
      <c r="V91">
        <f t="shared" si="39"/>
        <v>0</v>
      </c>
      <c r="W91">
        <f t="shared" si="40"/>
        <v>0</v>
      </c>
      <c r="Z91" s="32"/>
      <c r="AA91" s="32" t="str">
        <f t="shared" si="41"/>
        <v/>
      </c>
      <c r="AB91" s="32" t="e">
        <f t="shared" si="42"/>
        <v>#N/A</v>
      </c>
      <c r="AC91" s="32" t="e">
        <f t="shared" si="43"/>
        <v>#N/A</v>
      </c>
      <c r="AD91" s="32" t="e">
        <f t="shared" si="44"/>
        <v>#N/A</v>
      </c>
      <c r="AE91" s="32"/>
    </row>
    <row r="92" spans="2:31" ht="15" x14ac:dyDescent="0.35">
      <c r="B92" t="str">
        <f t="shared" si="30"/>
        <v>iBoxx EUR Corporates Net Zero 2050 Paris-Aligned ESG Index88</v>
      </c>
      <c r="C92" t="s">
        <v>533</v>
      </c>
      <c r="D92" t="s">
        <v>163</v>
      </c>
      <c r="E92" t="s">
        <v>534</v>
      </c>
      <c r="F92">
        <v>88</v>
      </c>
      <c r="G92" t="s">
        <v>535</v>
      </c>
      <c r="H92" s="26">
        <v>46173</v>
      </c>
      <c r="I92" s="33"/>
      <c r="J92" s="33">
        <f t="shared" si="31"/>
        <v>0</v>
      </c>
      <c r="K92" s="33">
        <f t="shared" si="32"/>
        <v>5814531.0528390929</v>
      </c>
      <c r="L92" s="33">
        <f t="shared" si="33"/>
        <v>0</v>
      </c>
      <c r="M92" s="33">
        <f t="shared" si="34"/>
        <v>0</v>
      </c>
      <c r="N92" s="33"/>
      <c r="O92" s="40"/>
      <c r="P92" s="155" t="s">
        <v>536</v>
      </c>
      <c r="R92">
        <f t="shared" si="35"/>
        <v>0</v>
      </c>
      <c r="S92">
        <f t="shared" si="36"/>
        <v>0</v>
      </c>
      <c r="T92">
        <f t="shared" si="37"/>
        <v>5814531052839.0928</v>
      </c>
      <c r="U92">
        <f t="shared" si="38"/>
        <v>0</v>
      </c>
      <c r="V92">
        <f t="shared" si="39"/>
        <v>0</v>
      </c>
      <c r="W92">
        <f t="shared" si="40"/>
        <v>0</v>
      </c>
      <c r="Z92" s="32"/>
      <c r="AA92" s="32" t="str">
        <f t="shared" si="41"/>
        <v/>
      </c>
      <c r="AB92" s="32" t="e">
        <f t="shared" si="42"/>
        <v>#N/A</v>
      </c>
      <c r="AC92" s="32" t="e">
        <f t="shared" si="43"/>
        <v>#N/A</v>
      </c>
      <c r="AD92" s="32" t="e">
        <f t="shared" si="44"/>
        <v>#N/A</v>
      </c>
      <c r="AE92" s="32"/>
    </row>
    <row r="93" spans="2:31" ht="15" x14ac:dyDescent="0.35">
      <c r="B93" t="str">
        <f t="shared" si="30"/>
        <v>iBoxx EUR Corporates Net Zero 2050 Paris-Aligned ESG Index89</v>
      </c>
      <c r="C93" t="s">
        <v>533</v>
      </c>
      <c r="D93" t="s">
        <v>163</v>
      </c>
      <c r="E93" t="s">
        <v>534</v>
      </c>
      <c r="F93">
        <v>89</v>
      </c>
      <c r="G93" t="s">
        <v>535</v>
      </c>
      <c r="H93" s="26">
        <v>46203</v>
      </c>
      <c r="I93" s="33"/>
      <c r="J93" s="33">
        <f t="shared" si="31"/>
        <v>0</v>
      </c>
      <c r="K93" s="33">
        <f t="shared" si="32"/>
        <v>5779473.4538614647</v>
      </c>
      <c r="L93" s="33">
        <f t="shared" si="33"/>
        <v>0</v>
      </c>
      <c r="M93" s="33">
        <f t="shared" si="34"/>
        <v>0</v>
      </c>
      <c r="N93" s="33"/>
      <c r="O93" s="40"/>
      <c r="P93" s="155" t="s">
        <v>536</v>
      </c>
      <c r="R93">
        <f t="shared" si="35"/>
        <v>0</v>
      </c>
      <c r="S93">
        <f t="shared" si="36"/>
        <v>0</v>
      </c>
      <c r="T93">
        <f t="shared" si="37"/>
        <v>5779473453861.4648</v>
      </c>
      <c r="U93">
        <f t="shared" si="38"/>
        <v>0</v>
      </c>
      <c r="V93">
        <f t="shared" si="39"/>
        <v>0</v>
      </c>
      <c r="W93">
        <f t="shared" si="40"/>
        <v>0</v>
      </c>
      <c r="Z93" s="32"/>
      <c r="AA93" s="32" t="str">
        <f t="shared" si="41"/>
        <v/>
      </c>
      <c r="AB93" s="32" t="e">
        <f t="shared" si="42"/>
        <v>#N/A</v>
      </c>
      <c r="AC93" s="32" t="e">
        <f t="shared" si="43"/>
        <v>#N/A</v>
      </c>
      <c r="AD93" s="32" t="e">
        <f t="shared" si="44"/>
        <v>#N/A</v>
      </c>
      <c r="AE93" s="32"/>
    </row>
    <row r="94" spans="2:31" ht="15" x14ac:dyDescent="0.35">
      <c r="B94" t="str">
        <f t="shared" si="30"/>
        <v>iBoxx EUR Corporates Net Zero 2050 Paris-Aligned ESG Index90</v>
      </c>
      <c r="C94" t="s">
        <v>533</v>
      </c>
      <c r="D94" t="s">
        <v>163</v>
      </c>
      <c r="E94" t="s">
        <v>534</v>
      </c>
      <c r="F94">
        <v>90</v>
      </c>
      <c r="G94" t="s">
        <v>535</v>
      </c>
      <c r="H94" s="26">
        <v>46234</v>
      </c>
      <c r="I94" s="33"/>
      <c r="J94" s="33">
        <f t="shared" si="31"/>
        <v>0</v>
      </c>
      <c r="K94" s="33">
        <f t="shared" si="32"/>
        <v>5744627.227948131</v>
      </c>
      <c r="L94" s="33">
        <f t="shared" si="33"/>
        <v>0</v>
      </c>
      <c r="M94" s="33">
        <f t="shared" si="34"/>
        <v>0</v>
      </c>
      <c r="N94" s="33"/>
      <c r="O94" s="40"/>
      <c r="P94" s="155" t="s">
        <v>536</v>
      </c>
      <c r="R94">
        <f t="shared" si="35"/>
        <v>0</v>
      </c>
      <c r="S94">
        <f t="shared" si="36"/>
        <v>0</v>
      </c>
      <c r="T94">
        <f t="shared" si="37"/>
        <v>5744627227948.1309</v>
      </c>
      <c r="U94">
        <f t="shared" si="38"/>
        <v>0</v>
      </c>
      <c r="V94">
        <f t="shared" si="39"/>
        <v>0</v>
      </c>
      <c r="W94">
        <f t="shared" si="40"/>
        <v>0</v>
      </c>
      <c r="Z94" s="32"/>
      <c r="AA94" s="32" t="str">
        <f t="shared" si="41"/>
        <v/>
      </c>
      <c r="AB94" s="32" t="e">
        <f t="shared" si="42"/>
        <v>#N/A</v>
      </c>
      <c r="AC94" s="32" t="e">
        <f t="shared" si="43"/>
        <v>#N/A</v>
      </c>
      <c r="AD94" s="32" t="e">
        <f t="shared" si="44"/>
        <v>#N/A</v>
      </c>
      <c r="AE94" s="32"/>
    </row>
    <row r="95" spans="2:31" ht="15" x14ac:dyDescent="0.35">
      <c r="B95" t="str">
        <f t="shared" si="30"/>
        <v>iBoxx EUR Corporates Net Zero 2050 Paris-Aligned ESG Index91</v>
      </c>
      <c r="C95" t="s">
        <v>533</v>
      </c>
      <c r="D95" t="s">
        <v>163</v>
      </c>
      <c r="E95" t="s">
        <v>534</v>
      </c>
      <c r="F95">
        <v>91</v>
      </c>
      <c r="G95" t="s">
        <v>535</v>
      </c>
      <c r="H95" s="26">
        <v>46265</v>
      </c>
      <c r="I95" s="33"/>
      <c r="J95" s="33">
        <f t="shared" si="31"/>
        <v>0</v>
      </c>
      <c r="K95" s="33">
        <f t="shared" si="32"/>
        <v>5709991.1006657705</v>
      </c>
      <c r="L95" s="33">
        <f t="shared" si="33"/>
        <v>0</v>
      </c>
      <c r="M95" s="33">
        <f t="shared" si="34"/>
        <v>0</v>
      </c>
      <c r="N95" s="33"/>
      <c r="O95" s="40"/>
      <c r="P95" s="155" t="s">
        <v>536</v>
      </c>
      <c r="R95">
        <f t="shared" si="35"/>
        <v>0</v>
      </c>
      <c r="S95">
        <f t="shared" si="36"/>
        <v>0</v>
      </c>
      <c r="T95">
        <f t="shared" si="37"/>
        <v>5709991100665.7705</v>
      </c>
      <c r="U95">
        <f t="shared" si="38"/>
        <v>0</v>
      </c>
      <c r="V95">
        <f t="shared" si="39"/>
        <v>0</v>
      </c>
      <c r="W95">
        <f t="shared" si="40"/>
        <v>0</v>
      </c>
      <c r="Z95" s="32"/>
      <c r="AA95" s="32" t="str">
        <f t="shared" si="41"/>
        <v/>
      </c>
      <c r="AB95" s="32" t="e">
        <f t="shared" si="42"/>
        <v>#N/A</v>
      </c>
      <c r="AC95" s="32" t="e">
        <f t="shared" si="43"/>
        <v>#N/A</v>
      </c>
      <c r="AD95" s="32" t="e">
        <f t="shared" si="44"/>
        <v>#N/A</v>
      </c>
      <c r="AE95" s="32"/>
    </row>
    <row r="96" spans="2:31" ht="15" x14ac:dyDescent="0.35">
      <c r="B96" t="str">
        <f t="shared" si="30"/>
        <v>iBoxx EUR Corporates Net Zero 2050 Paris-Aligned ESG Index92</v>
      </c>
      <c r="C96" t="s">
        <v>533</v>
      </c>
      <c r="D96" t="s">
        <v>163</v>
      </c>
      <c r="E96" t="s">
        <v>534</v>
      </c>
      <c r="F96">
        <v>92</v>
      </c>
      <c r="G96" t="s">
        <v>535</v>
      </c>
      <c r="H96" s="26">
        <v>46295</v>
      </c>
      <c r="I96" s="33"/>
      <c r="J96" s="33">
        <f t="shared" si="31"/>
        <v>0</v>
      </c>
      <c r="K96" s="33">
        <f t="shared" si="32"/>
        <v>5675563.8052650141</v>
      </c>
      <c r="L96" s="33">
        <f t="shared" si="33"/>
        <v>0</v>
      </c>
      <c r="M96" s="33">
        <f t="shared" si="34"/>
        <v>0</v>
      </c>
      <c r="N96" s="33"/>
      <c r="O96" s="40"/>
      <c r="P96" s="155" t="s">
        <v>536</v>
      </c>
      <c r="R96">
        <f t="shared" si="35"/>
        <v>0</v>
      </c>
      <c r="S96">
        <f t="shared" si="36"/>
        <v>0</v>
      </c>
      <c r="T96">
        <f t="shared" si="37"/>
        <v>5675563805265.0137</v>
      </c>
      <c r="U96">
        <f t="shared" si="38"/>
        <v>0</v>
      </c>
      <c r="V96">
        <f t="shared" si="39"/>
        <v>0</v>
      </c>
      <c r="W96">
        <f t="shared" si="40"/>
        <v>0</v>
      </c>
      <c r="Z96" s="32"/>
      <c r="AA96" s="32" t="str">
        <f t="shared" si="41"/>
        <v/>
      </c>
      <c r="AB96" s="32" t="e">
        <f t="shared" si="42"/>
        <v>#N/A</v>
      </c>
      <c r="AC96" s="32" t="e">
        <f t="shared" si="43"/>
        <v>#N/A</v>
      </c>
      <c r="AD96" s="32" t="e">
        <f t="shared" si="44"/>
        <v>#N/A</v>
      </c>
      <c r="AE96" s="32"/>
    </row>
    <row r="97" spans="2:31" ht="15" x14ac:dyDescent="0.35">
      <c r="B97" t="str">
        <f t="shared" si="30"/>
        <v>iBoxx EUR Corporates Net Zero 2050 Paris-Aligned ESG Index93</v>
      </c>
      <c r="C97" t="s">
        <v>533</v>
      </c>
      <c r="D97" t="s">
        <v>163</v>
      </c>
      <c r="E97" t="s">
        <v>534</v>
      </c>
      <c r="F97">
        <v>93</v>
      </c>
      <c r="G97" t="s">
        <v>535</v>
      </c>
      <c r="H97" s="26">
        <v>46326</v>
      </c>
      <c r="I97" s="33"/>
      <c r="J97" s="33">
        <f t="shared" si="31"/>
        <v>0</v>
      </c>
      <c r="K97" s="33">
        <f t="shared" si="32"/>
        <v>5641344.0826341119</v>
      </c>
      <c r="L97" s="33">
        <f t="shared" si="33"/>
        <v>0</v>
      </c>
      <c r="M97" s="33">
        <f t="shared" si="34"/>
        <v>0</v>
      </c>
      <c r="N97" s="33"/>
      <c r="O97" s="40"/>
      <c r="P97" s="155" t="s">
        <v>536</v>
      </c>
      <c r="R97">
        <f t="shared" si="35"/>
        <v>0</v>
      </c>
      <c r="S97">
        <f t="shared" si="36"/>
        <v>0</v>
      </c>
      <c r="T97">
        <f t="shared" si="37"/>
        <v>5641344082634.1123</v>
      </c>
      <c r="U97">
        <f t="shared" si="38"/>
        <v>0</v>
      </c>
      <c r="V97">
        <f t="shared" si="39"/>
        <v>0</v>
      </c>
      <c r="W97">
        <f t="shared" si="40"/>
        <v>0</v>
      </c>
      <c r="Z97" s="32"/>
      <c r="AA97" s="32" t="str">
        <f t="shared" si="41"/>
        <v/>
      </c>
      <c r="AB97" s="32" t="e">
        <f t="shared" si="42"/>
        <v>#N/A</v>
      </c>
      <c r="AC97" s="32" t="e">
        <f t="shared" si="43"/>
        <v>#N/A</v>
      </c>
      <c r="AD97" s="32" t="e">
        <f t="shared" si="44"/>
        <v>#N/A</v>
      </c>
      <c r="AE97" s="32"/>
    </row>
    <row r="98" spans="2:31" ht="15" x14ac:dyDescent="0.35">
      <c r="B98" t="str">
        <f t="shared" si="30"/>
        <v>iBoxx EUR Corporates Net Zero 2050 Paris-Aligned ESG Index94</v>
      </c>
      <c r="C98" t="s">
        <v>533</v>
      </c>
      <c r="D98" t="s">
        <v>163</v>
      </c>
      <c r="E98" t="s">
        <v>534</v>
      </c>
      <c r="F98">
        <v>94</v>
      </c>
      <c r="G98" t="s">
        <v>535</v>
      </c>
      <c r="H98" s="26">
        <v>46356</v>
      </c>
      <c r="I98" s="33"/>
      <c r="J98" s="33">
        <f t="shared" si="31"/>
        <v>0</v>
      </c>
      <c r="K98" s="33">
        <f t="shared" si="32"/>
        <v>5607330.6812528875</v>
      </c>
      <c r="L98" s="33">
        <f t="shared" si="33"/>
        <v>0</v>
      </c>
      <c r="M98" s="33">
        <f t="shared" si="34"/>
        <v>0</v>
      </c>
      <c r="N98" s="33"/>
      <c r="O98" s="40"/>
      <c r="P98" s="155" t="s">
        <v>536</v>
      </c>
      <c r="R98">
        <f t="shared" si="35"/>
        <v>0</v>
      </c>
      <c r="S98">
        <f t="shared" si="36"/>
        <v>0</v>
      </c>
      <c r="T98">
        <f t="shared" si="37"/>
        <v>5607330681252.8877</v>
      </c>
      <c r="U98">
        <f t="shared" si="38"/>
        <v>0</v>
      </c>
      <c r="V98">
        <f t="shared" si="39"/>
        <v>0</v>
      </c>
      <c r="W98">
        <f t="shared" si="40"/>
        <v>0</v>
      </c>
      <c r="Z98" s="32"/>
      <c r="AA98" s="32" t="str">
        <f t="shared" si="41"/>
        <v/>
      </c>
      <c r="AB98" s="32" t="e">
        <f t="shared" si="42"/>
        <v>#N/A</v>
      </c>
      <c r="AC98" s="32" t="e">
        <f t="shared" si="43"/>
        <v>#N/A</v>
      </c>
      <c r="AD98" s="32" t="e">
        <f t="shared" si="44"/>
        <v>#N/A</v>
      </c>
      <c r="AE98" s="32"/>
    </row>
    <row r="99" spans="2:31" ht="15" x14ac:dyDescent="0.35">
      <c r="B99" t="str">
        <f t="shared" ref="B99:B124" si="45">_xlfn.CONCAT(C99,F99)</f>
        <v>iBoxx EUR Corporates Net Zero 2050 Paris-Aligned ESG Index95</v>
      </c>
      <c r="C99" t="s">
        <v>533</v>
      </c>
      <c r="D99" t="s">
        <v>163</v>
      </c>
      <c r="E99" t="s">
        <v>534</v>
      </c>
      <c r="F99">
        <v>95</v>
      </c>
      <c r="G99" t="s">
        <v>535</v>
      </c>
      <c r="H99" s="26">
        <v>46387</v>
      </c>
      <c r="I99" s="33"/>
      <c r="J99" s="33">
        <f t="shared" si="31"/>
        <v>0</v>
      </c>
      <c r="K99" s="33">
        <f t="shared" si="32"/>
        <v>5573522.3571469691</v>
      </c>
      <c r="L99" s="33">
        <f t="shared" si="33"/>
        <v>0</v>
      </c>
      <c r="M99" s="33">
        <f t="shared" si="34"/>
        <v>0</v>
      </c>
      <c r="N99" s="33"/>
      <c r="O99" s="40"/>
      <c r="P99" s="155" t="s">
        <v>536</v>
      </c>
      <c r="R99">
        <f t="shared" si="35"/>
        <v>0</v>
      </c>
      <c r="S99">
        <f t="shared" si="36"/>
        <v>0</v>
      </c>
      <c r="T99">
        <f t="shared" si="37"/>
        <v>5573522357146.9688</v>
      </c>
      <c r="U99">
        <f t="shared" si="38"/>
        <v>0</v>
      </c>
      <c r="V99">
        <f t="shared" si="39"/>
        <v>0</v>
      </c>
      <c r="W99">
        <f t="shared" si="40"/>
        <v>0</v>
      </c>
      <c r="Z99" s="32"/>
      <c r="AA99" s="32" t="str">
        <f t="shared" si="41"/>
        <v/>
      </c>
      <c r="AB99" s="32" t="e">
        <f t="shared" si="42"/>
        <v>#N/A</v>
      </c>
      <c r="AC99" s="32" t="e">
        <f t="shared" si="43"/>
        <v>#N/A</v>
      </c>
      <c r="AD99" s="32" t="e">
        <f t="shared" si="44"/>
        <v>#N/A</v>
      </c>
      <c r="AE99" s="32"/>
    </row>
    <row r="100" spans="2:31" ht="15" x14ac:dyDescent="0.35">
      <c r="B100" t="str">
        <f t="shared" si="45"/>
        <v>iBoxx EUR Corporates Net Zero 2050 Paris-Aligned ESG Index96</v>
      </c>
      <c r="C100" t="s">
        <v>533</v>
      </c>
      <c r="D100" t="s">
        <v>163</v>
      </c>
      <c r="E100" t="s">
        <v>534</v>
      </c>
      <c r="F100">
        <v>96</v>
      </c>
      <c r="G100" t="s">
        <v>535</v>
      </c>
      <c r="H100" s="26">
        <v>46418</v>
      </c>
      <c r="I100" s="33"/>
      <c r="J100" s="33">
        <f t="shared" ref="J100:J124" si="46">IF(G100="PA",I100*0.5,IF(G100="CT",I100*0.7,""))</f>
        <v>0</v>
      </c>
      <c r="K100" s="33">
        <f t="shared" ref="K100:K124" si="47">VLOOKUP(C100,$C:$K,8,FALSE)*0.93^(F100/12)</f>
        <v>5539917.873842285</v>
      </c>
      <c r="L100" s="33">
        <f t="shared" ref="L100:L123" si="48">MIN(J100,K100)</f>
        <v>0</v>
      </c>
      <c r="M100" s="33">
        <f t="shared" ref="M100:M123" si="49">L100*0.975</f>
        <v>0</v>
      </c>
      <c r="N100" s="33"/>
      <c r="O100" s="40"/>
      <c r="P100" s="155" t="s">
        <v>536</v>
      </c>
      <c r="R100">
        <f t="shared" ref="R100:R123" si="50">I100*1000000</f>
        <v>0</v>
      </c>
      <c r="S100">
        <f t="shared" ref="S100:S123" si="51">J100*1000000</f>
        <v>0</v>
      </c>
      <c r="T100">
        <f t="shared" ref="T100:T123" si="52">K100*1000000</f>
        <v>5539917873842.2852</v>
      </c>
      <c r="U100">
        <f t="shared" ref="U100:U123" si="53">L100*1000000</f>
        <v>0</v>
      </c>
      <c r="V100">
        <f t="shared" ref="V100:V123" si="54">M100*1000000</f>
        <v>0</v>
      </c>
      <c r="W100">
        <f t="shared" ref="W100:W123" si="55">N100*1000000</f>
        <v>0</v>
      </c>
      <c r="Z100" s="32"/>
      <c r="AA100" s="32" t="str">
        <f t="shared" ref="AA100:AA123" si="56">IF(X100="PA",Z100*0.5,IF(X100="CT",Z100*0.7,""))</f>
        <v/>
      </c>
      <c r="AB100" s="32" t="e">
        <f t="shared" ref="AB100:AB123" si="57">VLOOKUP(T100,$C:$K,8,FALSE)*0.93^(W100/12)</f>
        <v>#N/A</v>
      </c>
      <c r="AC100" s="32" t="e">
        <f t="shared" ref="AC100:AC123" si="58">MIN(AA100,AB100)</f>
        <v>#N/A</v>
      </c>
      <c r="AD100" s="32" t="e">
        <f t="shared" ref="AD100:AD123" si="59">AC100*0.975</f>
        <v>#N/A</v>
      </c>
      <c r="AE100" s="32"/>
    </row>
    <row r="101" spans="2:31" ht="15" x14ac:dyDescent="0.35">
      <c r="B101" t="str">
        <f t="shared" si="45"/>
        <v>iBoxx EUR Corporates Net Zero 2050 Paris-Aligned ESG Index97</v>
      </c>
      <c r="C101" t="s">
        <v>533</v>
      </c>
      <c r="D101" t="s">
        <v>163</v>
      </c>
      <c r="E101" t="s">
        <v>534</v>
      </c>
      <c r="F101">
        <v>97</v>
      </c>
      <c r="G101" t="s">
        <v>535</v>
      </c>
      <c r="H101" s="26">
        <v>46446</v>
      </c>
      <c r="I101" s="33"/>
      <c r="J101" s="33">
        <f t="shared" si="46"/>
        <v>0</v>
      </c>
      <c r="K101" s="33">
        <f t="shared" si="47"/>
        <v>5506516.0023198454</v>
      </c>
      <c r="L101" s="33">
        <f t="shared" si="48"/>
        <v>0</v>
      </c>
      <c r="M101" s="33">
        <f t="shared" si="49"/>
        <v>0</v>
      </c>
      <c r="N101" s="33"/>
      <c r="O101" s="40"/>
      <c r="P101" s="155" t="s">
        <v>536</v>
      </c>
      <c r="R101">
        <f t="shared" si="50"/>
        <v>0</v>
      </c>
      <c r="S101">
        <f t="shared" si="51"/>
        <v>0</v>
      </c>
      <c r="T101">
        <f t="shared" si="52"/>
        <v>5506516002319.8457</v>
      </c>
      <c r="U101">
        <f t="shared" si="53"/>
        <v>0</v>
      </c>
      <c r="V101">
        <f t="shared" si="54"/>
        <v>0</v>
      </c>
      <c r="W101">
        <f t="shared" si="55"/>
        <v>0</v>
      </c>
      <c r="Z101" s="32"/>
      <c r="AA101" s="32" t="str">
        <f t="shared" si="56"/>
        <v/>
      </c>
      <c r="AB101" s="32" t="e">
        <f t="shared" si="57"/>
        <v>#N/A</v>
      </c>
      <c r="AC101" s="32" t="e">
        <f t="shared" si="58"/>
        <v>#N/A</v>
      </c>
      <c r="AD101" s="32" t="e">
        <f t="shared" si="59"/>
        <v>#N/A</v>
      </c>
      <c r="AE101" s="32"/>
    </row>
    <row r="102" spans="2:31" ht="15" x14ac:dyDescent="0.35">
      <c r="B102" t="str">
        <f t="shared" si="45"/>
        <v>iBoxx EUR Corporates Net Zero 2050 Paris-Aligned ESG Index98</v>
      </c>
      <c r="C102" t="s">
        <v>533</v>
      </c>
      <c r="D102" t="s">
        <v>163</v>
      </c>
      <c r="E102" t="s">
        <v>534</v>
      </c>
      <c r="F102">
        <v>98</v>
      </c>
      <c r="G102" t="s">
        <v>535</v>
      </c>
      <c r="H102" s="26">
        <v>46477</v>
      </c>
      <c r="I102" s="33"/>
      <c r="J102" s="33">
        <f t="shared" si="46"/>
        <v>0</v>
      </c>
      <c r="K102" s="33">
        <f t="shared" si="47"/>
        <v>5473315.5209708018</v>
      </c>
      <c r="L102" s="33">
        <f t="shared" si="48"/>
        <v>0</v>
      </c>
      <c r="M102" s="33">
        <f t="shared" si="49"/>
        <v>0</v>
      </c>
      <c r="N102" s="33"/>
      <c r="O102" s="40"/>
      <c r="P102" s="155" t="s">
        <v>536</v>
      </c>
      <c r="R102">
        <f t="shared" si="50"/>
        <v>0</v>
      </c>
      <c r="S102">
        <f t="shared" si="51"/>
        <v>0</v>
      </c>
      <c r="T102">
        <f t="shared" si="52"/>
        <v>5473315520970.8018</v>
      </c>
      <c r="U102">
        <f t="shared" si="53"/>
        <v>0</v>
      </c>
      <c r="V102">
        <f t="shared" si="54"/>
        <v>0</v>
      </c>
      <c r="W102">
        <f t="shared" si="55"/>
        <v>0</v>
      </c>
      <c r="Z102" s="32"/>
      <c r="AA102" s="32" t="str">
        <f t="shared" si="56"/>
        <v/>
      </c>
      <c r="AB102" s="32" t="e">
        <f t="shared" si="57"/>
        <v>#N/A</v>
      </c>
      <c r="AC102" s="32" t="e">
        <f t="shared" si="58"/>
        <v>#N/A</v>
      </c>
      <c r="AD102" s="32" t="e">
        <f t="shared" si="59"/>
        <v>#N/A</v>
      </c>
      <c r="AE102" s="32"/>
    </row>
    <row r="103" spans="2:31" ht="15" x14ac:dyDescent="0.35">
      <c r="B103" t="str">
        <f t="shared" si="45"/>
        <v>iBoxx EUR Corporates Net Zero 2050 Paris-Aligned ESG Index99</v>
      </c>
      <c r="C103" t="s">
        <v>533</v>
      </c>
      <c r="D103" t="s">
        <v>163</v>
      </c>
      <c r="E103" t="s">
        <v>534</v>
      </c>
      <c r="F103">
        <v>99</v>
      </c>
      <c r="G103" t="s">
        <v>535</v>
      </c>
      <c r="H103" s="26">
        <v>46507</v>
      </c>
      <c r="I103" s="33"/>
      <c r="J103" s="33">
        <f t="shared" si="46"/>
        <v>0</v>
      </c>
      <c r="K103" s="33">
        <f t="shared" si="47"/>
        <v>5440315.2155517554</v>
      </c>
      <c r="L103" s="33">
        <f t="shared" si="48"/>
        <v>0</v>
      </c>
      <c r="M103" s="33">
        <f t="shared" si="49"/>
        <v>0</v>
      </c>
      <c r="N103" s="33"/>
      <c r="O103" s="40"/>
      <c r="P103" s="155" t="s">
        <v>536</v>
      </c>
      <c r="R103">
        <f t="shared" si="50"/>
        <v>0</v>
      </c>
      <c r="S103">
        <f t="shared" si="51"/>
        <v>0</v>
      </c>
      <c r="T103">
        <f t="shared" si="52"/>
        <v>5440315215551.7559</v>
      </c>
      <c r="U103">
        <f t="shared" si="53"/>
        <v>0</v>
      </c>
      <c r="V103">
        <f t="shared" si="54"/>
        <v>0</v>
      </c>
      <c r="W103">
        <f t="shared" si="55"/>
        <v>0</v>
      </c>
      <c r="Z103" s="32"/>
      <c r="AA103" s="32" t="str">
        <f t="shared" si="56"/>
        <v/>
      </c>
      <c r="AB103" s="32" t="e">
        <f t="shared" si="57"/>
        <v>#N/A</v>
      </c>
      <c r="AC103" s="32" t="e">
        <f t="shared" si="58"/>
        <v>#N/A</v>
      </c>
      <c r="AD103" s="32" t="e">
        <f t="shared" si="59"/>
        <v>#N/A</v>
      </c>
      <c r="AE103" s="32"/>
    </row>
    <row r="104" spans="2:31" ht="15" x14ac:dyDescent="0.35">
      <c r="B104" t="str">
        <f t="shared" si="45"/>
        <v>iBoxx EUR Corporates Net Zero 2050 Paris-Aligned ESG Index100</v>
      </c>
      <c r="C104" t="s">
        <v>533</v>
      </c>
      <c r="D104" t="s">
        <v>163</v>
      </c>
      <c r="E104" t="s">
        <v>534</v>
      </c>
      <c r="F104">
        <v>100</v>
      </c>
      <c r="G104" t="s">
        <v>535</v>
      </c>
      <c r="H104" s="26">
        <v>46538</v>
      </c>
      <c r="I104" s="33"/>
      <c r="J104" s="33">
        <f t="shared" si="46"/>
        <v>0</v>
      </c>
      <c r="K104" s="33">
        <f t="shared" si="47"/>
        <v>5407513.8791403556</v>
      </c>
      <c r="L104" s="33">
        <f t="shared" si="48"/>
        <v>0</v>
      </c>
      <c r="M104" s="33">
        <f t="shared" si="49"/>
        <v>0</v>
      </c>
      <c r="N104" s="33"/>
      <c r="O104" s="40"/>
      <c r="P104" s="155" t="s">
        <v>536</v>
      </c>
      <c r="R104">
        <f t="shared" si="50"/>
        <v>0</v>
      </c>
      <c r="S104">
        <f t="shared" si="51"/>
        <v>0</v>
      </c>
      <c r="T104">
        <f t="shared" si="52"/>
        <v>5407513879140.3555</v>
      </c>
      <c r="U104">
        <f t="shared" si="53"/>
        <v>0</v>
      </c>
      <c r="V104">
        <f t="shared" si="54"/>
        <v>0</v>
      </c>
      <c r="W104">
        <f t="shared" si="55"/>
        <v>0</v>
      </c>
      <c r="Z104" s="32"/>
      <c r="AA104" s="32" t="str">
        <f t="shared" si="56"/>
        <v/>
      </c>
      <c r="AB104" s="32" t="e">
        <f t="shared" si="57"/>
        <v>#N/A</v>
      </c>
      <c r="AC104" s="32" t="e">
        <f t="shared" si="58"/>
        <v>#N/A</v>
      </c>
      <c r="AD104" s="32" t="e">
        <f t="shared" si="59"/>
        <v>#N/A</v>
      </c>
      <c r="AE104" s="32"/>
    </row>
    <row r="105" spans="2:31" ht="15" x14ac:dyDescent="0.35">
      <c r="B105" t="str">
        <f t="shared" si="45"/>
        <v>iBoxx EUR Corporates Net Zero 2050 Paris-Aligned ESG Index101</v>
      </c>
      <c r="C105" t="s">
        <v>533</v>
      </c>
      <c r="D105" t="s">
        <v>163</v>
      </c>
      <c r="E105" t="s">
        <v>534</v>
      </c>
      <c r="F105">
        <v>101</v>
      </c>
      <c r="G105" t="s">
        <v>535</v>
      </c>
      <c r="H105" s="26">
        <v>46568</v>
      </c>
      <c r="I105" s="33"/>
      <c r="J105" s="33">
        <f t="shared" si="46"/>
        <v>0</v>
      </c>
      <c r="K105" s="33">
        <f t="shared" si="47"/>
        <v>5374910.3120911624</v>
      </c>
      <c r="L105" s="33">
        <f t="shared" si="48"/>
        <v>0</v>
      </c>
      <c r="M105" s="33">
        <f t="shared" si="49"/>
        <v>0</v>
      </c>
      <c r="N105" s="33"/>
      <c r="O105" s="40"/>
      <c r="P105" s="155" t="s">
        <v>536</v>
      </c>
      <c r="R105">
        <f t="shared" si="50"/>
        <v>0</v>
      </c>
      <c r="S105">
        <f t="shared" si="51"/>
        <v>0</v>
      </c>
      <c r="T105">
        <f t="shared" si="52"/>
        <v>5374910312091.1621</v>
      </c>
      <c r="U105">
        <f t="shared" si="53"/>
        <v>0</v>
      </c>
      <c r="V105">
        <f t="shared" si="54"/>
        <v>0</v>
      </c>
      <c r="W105">
        <f t="shared" si="55"/>
        <v>0</v>
      </c>
      <c r="Z105" s="32"/>
      <c r="AA105" s="32" t="str">
        <f t="shared" si="56"/>
        <v/>
      </c>
      <c r="AB105" s="32" t="e">
        <f t="shared" si="57"/>
        <v>#N/A</v>
      </c>
      <c r="AC105" s="32" t="e">
        <f t="shared" si="58"/>
        <v>#N/A</v>
      </c>
      <c r="AD105" s="32" t="e">
        <f t="shared" si="59"/>
        <v>#N/A</v>
      </c>
      <c r="AE105" s="32"/>
    </row>
    <row r="106" spans="2:31" ht="15" x14ac:dyDescent="0.35">
      <c r="B106" t="str">
        <f t="shared" si="45"/>
        <v>iBoxx EUR Corporates Net Zero 2050 Paris-Aligned ESG Index102</v>
      </c>
      <c r="C106" t="s">
        <v>533</v>
      </c>
      <c r="D106" t="s">
        <v>163</v>
      </c>
      <c r="E106" t="s">
        <v>534</v>
      </c>
      <c r="F106">
        <v>102</v>
      </c>
      <c r="G106" t="s">
        <v>535</v>
      </c>
      <c r="H106" s="26">
        <v>46599</v>
      </c>
      <c r="I106" s="33"/>
      <c r="J106" s="33">
        <f t="shared" si="46"/>
        <v>0</v>
      </c>
      <c r="K106" s="33">
        <f t="shared" si="47"/>
        <v>5342503.3219917621</v>
      </c>
      <c r="L106" s="33">
        <f t="shared" si="48"/>
        <v>0</v>
      </c>
      <c r="M106" s="33">
        <f t="shared" si="49"/>
        <v>0</v>
      </c>
      <c r="N106" s="33"/>
      <c r="O106" s="40"/>
      <c r="P106" s="155" t="s">
        <v>536</v>
      </c>
      <c r="R106">
        <f t="shared" si="50"/>
        <v>0</v>
      </c>
      <c r="S106">
        <f t="shared" si="51"/>
        <v>0</v>
      </c>
      <c r="T106">
        <f t="shared" si="52"/>
        <v>5342503321991.7617</v>
      </c>
      <c r="U106">
        <f t="shared" si="53"/>
        <v>0</v>
      </c>
      <c r="V106">
        <f t="shared" si="54"/>
        <v>0</v>
      </c>
      <c r="W106">
        <f t="shared" si="55"/>
        <v>0</v>
      </c>
      <c r="Z106" s="32"/>
      <c r="AA106" s="32" t="str">
        <f t="shared" si="56"/>
        <v/>
      </c>
      <c r="AB106" s="32" t="e">
        <f t="shared" si="57"/>
        <v>#N/A</v>
      </c>
      <c r="AC106" s="32" t="e">
        <f t="shared" si="58"/>
        <v>#N/A</v>
      </c>
      <c r="AD106" s="32" t="e">
        <f t="shared" si="59"/>
        <v>#N/A</v>
      </c>
      <c r="AE106" s="32"/>
    </row>
    <row r="107" spans="2:31" ht="15" x14ac:dyDescent="0.35">
      <c r="B107" t="str">
        <f t="shared" si="45"/>
        <v>iBoxx EUR Corporates Net Zero 2050 Paris-Aligned ESG Index103</v>
      </c>
      <c r="C107" t="s">
        <v>533</v>
      </c>
      <c r="D107" t="s">
        <v>163</v>
      </c>
      <c r="E107" t="s">
        <v>534</v>
      </c>
      <c r="F107">
        <v>103</v>
      </c>
      <c r="G107" t="s">
        <v>535</v>
      </c>
      <c r="H107" s="26">
        <v>46630</v>
      </c>
      <c r="I107" s="33"/>
      <c r="J107" s="33">
        <f t="shared" si="46"/>
        <v>0</v>
      </c>
      <c r="K107" s="33">
        <f t="shared" si="47"/>
        <v>5310291.7236191677</v>
      </c>
      <c r="L107" s="33">
        <f t="shared" si="48"/>
        <v>0</v>
      </c>
      <c r="M107" s="33">
        <f t="shared" si="49"/>
        <v>0</v>
      </c>
      <c r="N107" s="33"/>
      <c r="O107" s="40"/>
      <c r="P107" s="155" t="s">
        <v>536</v>
      </c>
      <c r="R107">
        <f t="shared" si="50"/>
        <v>0</v>
      </c>
      <c r="S107">
        <f t="shared" si="51"/>
        <v>0</v>
      </c>
      <c r="T107">
        <f t="shared" si="52"/>
        <v>5310291723619.168</v>
      </c>
      <c r="U107">
        <f t="shared" si="53"/>
        <v>0</v>
      </c>
      <c r="V107">
        <f t="shared" si="54"/>
        <v>0</v>
      </c>
      <c r="W107">
        <f t="shared" si="55"/>
        <v>0</v>
      </c>
      <c r="Z107" s="32"/>
      <c r="AA107" s="32" t="str">
        <f t="shared" si="56"/>
        <v/>
      </c>
      <c r="AB107" s="32" t="e">
        <f t="shared" si="57"/>
        <v>#N/A</v>
      </c>
      <c r="AC107" s="32" t="e">
        <f t="shared" si="58"/>
        <v>#N/A</v>
      </c>
      <c r="AD107" s="32" t="e">
        <f t="shared" si="59"/>
        <v>#N/A</v>
      </c>
      <c r="AE107" s="32"/>
    </row>
    <row r="108" spans="2:31" ht="15" x14ac:dyDescent="0.35">
      <c r="B108" t="str">
        <f t="shared" si="45"/>
        <v>iBoxx EUR Corporates Net Zero 2050 Paris-Aligned ESG Index104</v>
      </c>
      <c r="C108" t="s">
        <v>533</v>
      </c>
      <c r="D108" t="s">
        <v>163</v>
      </c>
      <c r="E108" t="s">
        <v>534</v>
      </c>
      <c r="F108">
        <v>104</v>
      </c>
      <c r="G108" t="s">
        <v>535</v>
      </c>
      <c r="H108" s="26">
        <v>46660</v>
      </c>
      <c r="I108" s="33"/>
      <c r="J108" s="33">
        <f t="shared" si="46"/>
        <v>0</v>
      </c>
      <c r="K108" s="33">
        <f t="shared" si="47"/>
        <v>5278274.3388964636</v>
      </c>
      <c r="L108" s="33">
        <f t="shared" si="48"/>
        <v>0</v>
      </c>
      <c r="M108" s="33">
        <f t="shared" si="49"/>
        <v>0</v>
      </c>
      <c r="N108" s="33"/>
      <c r="O108" s="40"/>
      <c r="P108" s="155" t="s">
        <v>536</v>
      </c>
      <c r="R108">
        <f t="shared" si="50"/>
        <v>0</v>
      </c>
      <c r="S108">
        <f t="shared" si="51"/>
        <v>0</v>
      </c>
      <c r="T108">
        <f t="shared" si="52"/>
        <v>5278274338896.4639</v>
      </c>
      <c r="U108">
        <f t="shared" si="53"/>
        <v>0</v>
      </c>
      <c r="V108">
        <f t="shared" si="54"/>
        <v>0</v>
      </c>
      <c r="W108">
        <f t="shared" si="55"/>
        <v>0</v>
      </c>
      <c r="Z108" s="32"/>
      <c r="AA108" s="32" t="str">
        <f t="shared" si="56"/>
        <v/>
      </c>
      <c r="AB108" s="32" t="e">
        <f t="shared" si="57"/>
        <v>#N/A</v>
      </c>
      <c r="AC108" s="32" t="e">
        <f t="shared" si="58"/>
        <v>#N/A</v>
      </c>
      <c r="AD108" s="32" t="e">
        <f t="shared" si="59"/>
        <v>#N/A</v>
      </c>
      <c r="AE108" s="32"/>
    </row>
    <row r="109" spans="2:31" ht="15" x14ac:dyDescent="0.35">
      <c r="B109" t="str">
        <f t="shared" si="45"/>
        <v>iBoxx EUR Corporates Net Zero 2050 Paris-Aligned ESG Index105</v>
      </c>
      <c r="C109" t="s">
        <v>533</v>
      </c>
      <c r="D109" t="s">
        <v>163</v>
      </c>
      <c r="E109" t="s">
        <v>534</v>
      </c>
      <c r="F109">
        <v>105</v>
      </c>
      <c r="G109" t="s">
        <v>535</v>
      </c>
      <c r="H109" s="26">
        <v>46691</v>
      </c>
      <c r="I109" s="33"/>
      <c r="J109" s="33">
        <f t="shared" si="46"/>
        <v>0</v>
      </c>
      <c r="K109" s="33">
        <f t="shared" si="47"/>
        <v>5246449.9968497232</v>
      </c>
      <c r="L109" s="33">
        <f t="shared" si="48"/>
        <v>0</v>
      </c>
      <c r="M109" s="33">
        <f t="shared" si="49"/>
        <v>0</v>
      </c>
      <c r="N109" s="33"/>
      <c r="O109" s="40"/>
      <c r="P109" s="155" t="s">
        <v>536</v>
      </c>
      <c r="R109">
        <f t="shared" si="50"/>
        <v>0</v>
      </c>
      <c r="S109">
        <f t="shared" si="51"/>
        <v>0</v>
      </c>
      <c r="T109">
        <f t="shared" si="52"/>
        <v>5246449996849.7236</v>
      </c>
      <c r="U109">
        <f t="shared" si="53"/>
        <v>0</v>
      </c>
      <c r="V109">
        <f t="shared" si="54"/>
        <v>0</v>
      </c>
      <c r="W109">
        <f t="shared" si="55"/>
        <v>0</v>
      </c>
      <c r="Z109" s="32"/>
      <c r="AA109" s="32" t="str">
        <f t="shared" si="56"/>
        <v/>
      </c>
      <c r="AB109" s="32" t="e">
        <f t="shared" si="57"/>
        <v>#N/A</v>
      </c>
      <c r="AC109" s="32" t="e">
        <f t="shared" si="58"/>
        <v>#N/A</v>
      </c>
      <c r="AD109" s="32" t="e">
        <f t="shared" si="59"/>
        <v>#N/A</v>
      </c>
      <c r="AE109" s="32"/>
    </row>
    <row r="110" spans="2:31" ht="15" x14ac:dyDescent="0.35">
      <c r="B110" t="str">
        <f t="shared" si="45"/>
        <v>iBoxx EUR Corporates Net Zero 2050 Paris-Aligned ESG Index106</v>
      </c>
      <c r="C110" t="s">
        <v>533</v>
      </c>
      <c r="D110" t="s">
        <v>163</v>
      </c>
      <c r="E110" t="s">
        <v>534</v>
      </c>
      <c r="F110">
        <v>106</v>
      </c>
      <c r="G110" t="s">
        <v>535</v>
      </c>
      <c r="H110" s="26">
        <v>46721</v>
      </c>
      <c r="I110" s="33"/>
      <c r="J110" s="33">
        <f t="shared" si="46"/>
        <v>0</v>
      </c>
      <c r="K110" s="33">
        <f t="shared" si="47"/>
        <v>5214817.533565186</v>
      </c>
      <c r="L110" s="33">
        <f t="shared" si="48"/>
        <v>0</v>
      </c>
      <c r="M110" s="33">
        <f t="shared" si="49"/>
        <v>0</v>
      </c>
      <c r="N110" s="33"/>
      <c r="O110" s="40"/>
      <c r="P110" s="155" t="s">
        <v>536</v>
      </c>
      <c r="R110">
        <f t="shared" si="50"/>
        <v>0</v>
      </c>
      <c r="S110">
        <f t="shared" si="51"/>
        <v>0</v>
      </c>
      <c r="T110">
        <f t="shared" si="52"/>
        <v>5214817533565.1855</v>
      </c>
      <c r="U110">
        <f t="shared" si="53"/>
        <v>0</v>
      </c>
      <c r="V110">
        <f t="shared" si="54"/>
        <v>0</v>
      </c>
      <c r="W110">
        <f t="shared" si="55"/>
        <v>0</v>
      </c>
      <c r="Z110" s="32"/>
      <c r="AA110" s="32" t="str">
        <f t="shared" si="56"/>
        <v/>
      </c>
      <c r="AB110" s="32" t="e">
        <f t="shared" si="57"/>
        <v>#N/A</v>
      </c>
      <c r="AC110" s="32" t="e">
        <f t="shared" si="58"/>
        <v>#N/A</v>
      </c>
      <c r="AD110" s="32" t="e">
        <f t="shared" si="59"/>
        <v>#N/A</v>
      </c>
      <c r="AE110" s="32"/>
    </row>
    <row r="111" spans="2:31" ht="15" x14ac:dyDescent="0.35">
      <c r="B111" t="str">
        <f t="shared" si="45"/>
        <v>iBoxx EUR Corporates Net Zero 2050 Paris-Aligned ESG Index107</v>
      </c>
      <c r="C111" t="s">
        <v>533</v>
      </c>
      <c r="D111" t="s">
        <v>163</v>
      </c>
      <c r="E111" t="s">
        <v>534</v>
      </c>
      <c r="F111">
        <v>107</v>
      </c>
      <c r="G111" t="s">
        <v>535</v>
      </c>
      <c r="H111" s="26">
        <v>46752</v>
      </c>
      <c r="I111" s="33"/>
      <c r="J111" s="33">
        <f t="shared" si="46"/>
        <v>0</v>
      </c>
      <c r="K111" s="33">
        <f t="shared" si="47"/>
        <v>5183375.7921466818</v>
      </c>
      <c r="L111" s="33">
        <f t="shared" si="48"/>
        <v>0</v>
      </c>
      <c r="M111" s="33">
        <f t="shared" si="49"/>
        <v>0</v>
      </c>
      <c r="N111" s="33"/>
      <c r="O111" s="40"/>
      <c r="P111" s="155" t="s">
        <v>536</v>
      </c>
      <c r="R111">
        <f t="shared" si="50"/>
        <v>0</v>
      </c>
      <c r="S111">
        <f t="shared" si="51"/>
        <v>0</v>
      </c>
      <c r="T111">
        <f t="shared" si="52"/>
        <v>5183375792146.6816</v>
      </c>
      <c r="U111">
        <f t="shared" si="53"/>
        <v>0</v>
      </c>
      <c r="V111">
        <f t="shared" si="54"/>
        <v>0</v>
      </c>
      <c r="W111">
        <f t="shared" si="55"/>
        <v>0</v>
      </c>
      <c r="Z111" s="32"/>
      <c r="AA111" s="32" t="str">
        <f t="shared" si="56"/>
        <v/>
      </c>
      <c r="AB111" s="32" t="e">
        <f t="shared" si="57"/>
        <v>#N/A</v>
      </c>
      <c r="AC111" s="32" t="e">
        <f t="shared" si="58"/>
        <v>#N/A</v>
      </c>
      <c r="AD111" s="32" t="e">
        <f t="shared" si="59"/>
        <v>#N/A</v>
      </c>
      <c r="AE111" s="32"/>
    </row>
    <row r="112" spans="2:31" ht="15" x14ac:dyDescent="0.35">
      <c r="B112" t="str">
        <f t="shared" si="45"/>
        <v>iBoxx EUR Corporates Net Zero 2050 Paris-Aligned ESG Index108</v>
      </c>
      <c r="C112" t="s">
        <v>533</v>
      </c>
      <c r="D112" t="s">
        <v>163</v>
      </c>
      <c r="E112" t="s">
        <v>534</v>
      </c>
      <c r="F112">
        <v>108</v>
      </c>
      <c r="G112" t="s">
        <v>535</v>
      </c>
      <c r="H112" s="26">
        <v>46783</v>
      </c>
      <c r="I112" s="33"/>
      <c r="J112" s="33">
        <f t="shared" si="46"/>
        <v>0</v>
      </c>
      <c r="K112" s="33">
        <f t="shared" si="47"/>
        <v>5152123.6226733252</v>
      </c>
      <c r="L112" s="33">
        <f t="shared" si="48"/>
        <v>0</v>
      </c>
      <c r="M112" s="33">
        <f t="shared" si="49"/>
        <v>0</v>
      </c>
      <c r="N112" s="33"/>
      <c r="O112" s="40"/>
      <c r="P112" s="155" t="s">
        <v>536</v>
      </c>
      <c r="R112">
        <f t="shared" si="50"/>
        <v>0</v>
      </c>
      <c r="S112">
        <f t="shared" si="51"/>
        <v>0</v>
      </c>
      <c r="T112">
        <f t="shared" si="52"/>
        <v>5152123622673.3252</v>
      </c>
      <c r="U112">
        <f t="shared" si="53"/>
        <v>0</v>
      </c>
      <c r="V112">
        <f t="shared" si="54"/>
        <v>0</v>
      </c>
      <c r="W112">
        <f t="shared" si="55"/>
        <v>0</v>
      </c>
      <c r="Z112" s="32"/>
      <c r="AA112" s="32" t="str">
        <f t="shared" si="56"/>
        <v/>
      </c>
      <c r="AB112" s="32" t="e">
        <f t="shared" si="57"/>
        <v>#N/A</v>
      </c>
      <c r="AC112" s="32" t="e">
        <f t="shared" si="58"/>
        <v>#N/A</v>
      </c>
      <c r="AD112" s="32" t="e">
        <f t="shared" si="59"/>
        <v>#N/A</v>
      </c>
      <c r="AE112" s="32"/>
    </row>
    <row r="113" spans="2:31" ht="15" x14ac:dyDescent="0.35">
      <c r="B113" t="str">
        <f t="shared" si="45"/>
        <v>iBoxx EUR Corporates Net Zero 2050 Paris-Aligned ESG Index109</v>
      </c>
      <c r="C113" t="s">
        <v>533</v>
      </c>
      <c r="D113" t="s">
        <v>163</v>
      </c>
      <c r="E113" t="s">
        <v>534</v>
      </c>
      <c r="F113">
        <v>109</v>
      </c>
      <c r="G113" t="s">
        <v>535</v>
      </c>
      <c r="H113" s="26">
        <v>46811</v>
      </c>
      <c r="I113" s="33"/>
      <c r="J113" s="33">
        <f t="shared" si="46"/>
        <v>0</v>
      </c>
      <c r="K113" s="33">
        <f t="shared" si="47"/>
        <v>5121059.8821574571</v>
      </c>
      <c r="L113" s="33">
        <f t="shared" si="48"/>
        <v>0</v>
      </c>
      <c r="M113" s="33">
        <f t="shared" si="49"/>
        <v>0</v>
      </c>
      <c r="N113" s="33"/>
      <c r="O113" s="40"/>
      <c r="P113" s="155" t="s">
        <v>536</v>
      </c>
      <c r="R113">
        <f t="shared" si="50"/>
        <v>0</v>
      </c>
      <c r="S113">
        <f t="shared" si="51"/>
        <v>0</v>
      </c>
      <c r="T113">
        <f t="shared" si="52"/>
        <v>5121059882157.457</v>
      </c>
      <c r="U113">
        <f t="shared" si="53"/>
        <v>0</v>
      </c>
      <c r="V113">
        <f t="shared" si="54"/>
        <v>0</v>
      </c>
      <c r="W113">
        <f t="shared" si="55"/>
        <v>0</v>
      </c>
      <c r="Z113" s="32"/>
      <c r="AA113" s="32" t="str">
        <f t="shared" si="56"/>
        <v/>
      </c>
      <c r="AB113" s="32" t="e">
        <f t="shared" si="57"/>
        <v>#N/A</v>
      </c>
      <c r="AC113" s="32" t="e">
        <f t="shared" si="58"/>
        <v>#N/A</v>
      </c>
      <c r="AD113" s="32" t="e">
        <f t="shared" si="59"/>
        <v>#N/A</v>
      </c>
      <c r="AE113" s="32"/>
    </row>
    <row r="114" spans="2:31" ht="15" x14ac:dyDescent="0.35">
      <c r="B114" t="str">
        <f t="shared" si="45"/>
        <v>iBoxx EUR Corporates Net Zero 2050 Paris-Aligned ESG Index110</v>
      </c>
      <c r="C114" t="s">
        <v>533</v>
      </c>
      <c r="D114" t="s">
        <v>163</v>
      </c>
      <c r="E114" t="s">
        <v>534</v>
      </c>
      <c r="F114">
        <v>110</v>
      </c>
      <c r="G114" t="s">
        <v>535</v>
      </c>
      <c r="H114" s="26">
        <v>46843</v>
      </c>
      <c r="I114" s="33"/>
      <c r="J114" s="33">
        <f t="shared" si="46"/>
        <v>0</v>
      </c>
      <c r="K114" s="33">
        <f t="shared" si="47"/>
        <v>5090183.4345028475</v>
      </c>
      <c r="L114" s="33">
        <f t="shared" si="48"/>
        <v>0</v>
      </c>
      <c r="M114" s="33">
        <f t="shared" si="49"/>
        <v>0</v>
      </c>
      <c r="N114" s="33"/>
      <c r="O114" s="40"/>
      <c r="P114" s="155" t="s">
        <v>536</v>
      </c>
      <c r="R114">
        <f t="shared" si="50"/>
        <v>0</v>
      </c>
      <c r="S114">
        <f t="shared" si="51"/>
        <v>0</v>
      </c>
      <c r="T114">
        <f t="shared" si="52"/>
        <v>5090183434502.8477</v>
      </c>
      <c r="U114">
        <f t="shared" si="53"/>
        <v>0</v>
      </c>
      <c r="V114">
        <f t="shared" si="54"/>
        <v>0</v>
      </c>
      <c r="W114">
        <f t="shared" si="55"/>
        <v>0</v>
      </c>
      <c r="Z114" s="32"/>
      <c r="AA114" s="32" t="str">
        <f t="shared" si="56"/>
        <v/>
      </c>
      <c r="AB114" s="32" t="e">
        <f t="shared" si="57"/>
        <v>#N/A</v>
      </c>
      <c r="AC114" s="32" t="e">
        <f t="shared" si="58"/>
        <v>#N/A</v>
      </c>
      <c r="AD114" s="32" t="e">
        <f t="shared" si="59"/>
        <v>#N/A</v>
      </c>
      <c r="AE114" s="32"/>
    </row>
    <row r="115" spans="2:31" ht="15" x14ac:dyDescent="0.35">
      <c r="B115" t="str">
        <f t="shared" si="45"/>
        <v>iBoxx EUR Corporates Net Zero 2050 Paris-Aligned ESG Index111</v>
      </c>
      <c r="C115" t="s">
        <v>533</v>
      </c>
      <c r="D115" t="s">
        <v>163</v>
      </c>
      <c r="E115" t="s">
        <v>534</v>
      </c>
      <c r="F115">
        <v>111</v>
      </c>
      <c r="G115" t="s">
        <v>535</v>
      </c>
      <c r="H115" s="26">
        <v>46873</v>
      </c>
      <c r="I115" s="33"/>
      <c r="J115" s="33">
        <f t="shared" si="46"/>
        <v>0</v>
      </c>
      <c r="K115" s="33">
        <f t="shared" si="47"/>
        <v>5059493.1504631331</v>
      </c>
      <c r="L115" s="33">
        <f t="shared" si="48"/>
        <v>0</v>
      </c>
      <c r="M115" s="33">
        <f t="shared" si="49"/>
        <v>0</v>
      </c>
      <c r="N115" s="33"/>
      <c r="O115" s="40"/>
      <c r="P115" s="155" t="s">
        <v>536</v>
      </c>
      <c r="R115">
        <f t="shared" si="50"/>
        <v>0</v>
      </c>
      <c r="S115">
        <f t="shared" si="51"/>
        <v>0</v>
      </c>
      <c r="T115">
        <f t="shared" si="52"/>
        <v>5059493150463.1328</v>
      </c>
      <c r="U115">
        <f t="shared" si="53"/>
        <v>0</v>
      </c>
      <c r="V115">
        <f t="shared" si="54"/>
        <v>0</v>
      </c>
      <c r="W115">
        <f t="shared" si="55"/>
        <v>0</v>
      </c>
      <c r="Z115" s="32"/>
      <c r="AA115" s="32" t="str">
        <f t="shared" si="56"/>
        <v/>
      </c>
      <c r="AB115" s="32" t="e">
        <f t="shared" si="57"/>
        <v>#N/A</v>
      </c>
      <c r="AC115" s="32" t="e">
        <f t="shared" si="58"/>
        <v>#N/A</v>
      </c>
      <c r="AD115" s="32" t="e">
        <f t="shared" si="59"/>
        <v>#N/A</v>
      </c>
      <c r="AE115" s="32"/>
    </row>
    <row r="116" spans="2:31" ht="15" x14ac:dyDescent="0.35">
      <c r="B116" t="str">
        <f t="shared" si="45"/>
        <v>iBoxx EUR Corporates Net Zero 2050 Paris-Aligned ESG Index112</v>
      </c>
      <c r="C116" t="s">
        <v>533</v>
      </c>
      <c r="D116" t="s">
        <v>163</v>
      </c>
      <c r="E116" t="s">
        <v>534</v>
      </c>
      <c r="F116">
        <v>112</v>
      </c>
      <c r="G116" t="s">
        <v>535</v>
      </c>
      <c r="H116" s="26">
        <v>46904</v>
      </c>
      <c r="I116" s="33"/>
      <c r="J116" s="33">
        <f t="shared" si="46"/>
        <v>0</v>
      </c>
      <c r="K116" s="33">
        <f t="shared" si="47"/>
        <v>5028987.9076005314</v>
      </c>
      <c r="L116" s="33">
        <f t="shared" si="48"/>
        <v>0</v>
      </c>
      <c r="M116" s="33">
        <f t="shared" si="49"/>
        <v>0</v>
      </c>
      <c r="N116" s="33"/>
      <c r="O116" s="40"/>
      <c r="P116" s="155" t="s">
        <v>536</v>
      </c>
      <c r="R116">
        <f t="shared" si="50"/>
        <v>0</v>
      </c>
      <c r="S116">
        <f t="shared" si="51"/>
        <v>0</v>
      </c>
      <c r="T116">
        <f t="shared" si="52"/>
        <v>5028987907600.5313</v>
      </c>
      <c r="U116">
        <f t="shared" si="53"/>
        <v>0</v>
      </c>
      <c r="V116">
        <f t="shared" si="54"/>
        <v>0</v>
      </c>
      <c r="W116">
        <f t="shared" si="55"/>
        <v>0</v>
      </c>
      <c r="Z116" s="32"/>
      <c r="AA116" s="32" t="str">
        <f t="shared" si="56"/>
        <v/>
      </c>
      <c r="AB116" s="32" t="e">
        <f t="shared" si="57"/>
        <v>#N/A</v>
      </c>
      <c r="AC116" s="32" t="e">
        <f t="shared" si="58"/>
        <v>#N/A</v>
      </c>
      <c r="AD116" s="32" t="e">
        <f t="shared" si="59"/>
        <v>#N/A</v>
      </c>
      <c r="AE116" s="32"/>
    </row>
    <row r="117" spans="2:31" ht="15" x14ac:dyDescent="0.35">
      <c r="B117" t="str">
        <f t="shared" si="45"/>
        <v>iBoxx EUR Corporates Net Zero 2050 Paris-Aligned ESG Index113</v>
      </c>
      <c r="C117" t="s">
        <v>533</v>
      </c>
      <c r="D117" t="s">
        <v>163</v>
      </c>
      <c r="E117" t="s">
        <v>534</v>
      </c>
      <c r="F117">
        <v>113</v>
      </c>
      <c r="G117" t="s">
        <v>535</v>
      </c>
      <c r="H117" s="26">
        <v>46934</v>
      </c>
      <c r="I117" s="33"/>
      <c r="J117" s="33">
        <f t="shared" si="46"/>
        <v>0</v>
      </c>
      <c r="K117" s="33">
        <f t="shared" si="47"/>
        <v>4998666.5902447803</v>
      </c>
      <c r="L117" s="33">
        <f t="shared" si="48"/>
        <v>0</v>
      </c>
      <c r="M117" s="33">
        <f t="shared" si="49"/>
        <v>0</v>
      </c>
      <c r="N117" s="33"/>
      <c r="O117" s="40"/>
      <c r="P117" s="155" t="s">
        <v>536</v>
      </c>
      <c r="R117">
        <f t="shared" si="50"/>
        <v>0</v>
      </c>
      <c r="S117">
        <f t="shared" si="51"/>
        <v>0</v>
      </c>
      <c r="T117">
        <f t="shared" si="52"/>
        <v>4998666590244.7803</v>
      </c>
      <c r="U117">
        <f t="shared" si="53"/>
        <v>0</v>
      </c>
      <c r="V117">
        <f t="shared" si="54"/>
        <v>0</v>
      </c>
      <c r="W117">
        <f t="shared" si="55"/>
        <v>0</v>
      </c>
      <c r="Z117" s="32"/>
      <c r="AA117" s="32" t="str">
        <f t="shared" si="56"/>
        <v/>
      </c>
      <c r="AB117" s="32" t="e">
        <f t="shared" si="57"/>
        <v>#N/A</v>
      </c>
      <c r="AC117" s="32" t="e">
        <f t="shared" si="58"/>
        <v>#N/A</v>
      </c>
      <c r="AD117" s="32" t="e">
        <f t="shared" si="59"/>
        <v>#N/A</v>
      </c>
      <c r="AE117" s="32"/>
    </row>
    <row r="118" spans="2:31" ht="15" x14ac:dyDescent="0.35">
      <c r="B118" t="str">
        <f t="shared" si="45"/>
        <v>iBoxx EUR Corporates Net Zero 2050 Paris-Aligned ESG Index114</v>
      </c>
      <c r="C118" t="s">
        <v>533</v>
      </c>
      <c r="D118" t="s">
        <v>163</v>
      </c>
      <c r="E118" t="s">
        <v>534</v>
      </c>
      <c r="F118">
        <v>114</v>
      </c>
      <c r="G118" t="s">
        <v>535</v>
      </c>
      <c r="H118" s="26">
        <v>46965</v>
      </c>
      <c r="I118" s="33"/>
      <c r="J118" s="33">
        <f t="shared" si="46"/>
        <v>0</v>
      </c>
      <c r="K118" s="33">
        <f t="shared" si="47"/>
        <v>4968528.0894523393</v>
      </c>
      <c r="L118" s="33">
        <f t="shared" si="48"/>
        <v>0</v>
      </c>
      <c r="M118" s="33">
        <f t="shared" si="49"/>
        <v>0</v>
      </c>
      <c r="N118" s="33"/>
      <c r="O118" s="40"/>
      <c r="P118" s="155" t="s">
        <v>536</v>
      </c>
      <c r="R118">
        <f t="shared" si="50"/>
        <v>0</v>
      </c>
      <c r="S118">
        <f t="shared" si="51"/>
        <v>0</v>
      </c>
      <c r="T118">
        <f t="shared" si="52"/>
        <v>4968528089452.3389</v>
      </c>
      <c r="U118">
        <f t="shared" si="53"/>
        <v>0</v>
      </c>
      <c r="V118">
        <f t="shared" si="54"/>
        <v>0</v>
      </c>
      <c r="W118">
        <f t="shared" si="55"/>
        <v>0</v>
      </c>
      <c r="Z118" s="32"/>
      <c r="AA118" s="32" t="str">
        <f t="shared" si="56"/>
        <v/>
      </c>
      <c r="AB118" s="32" t="e">
        <f t="shared" si="57"/>
        <v>#N/A</v>
      </c>
      <c r="AC118" s="32" t="e">
        <f t="shared" si="58"/>
        <v>#N/A</v>
      </c>
      <c r="AD118" s="32" t="e">
        <f t="shared" si="59"/>
        <v>#N/A</v>
      </c>
      <c r="AE118" s="32"/>
    </row>
    <row r="119" spans="2:31" ht="15" x14ac:dyDescent="0.35">
      <c r="B119" t="str">
        <f t="shared" si="45"/>
        <v>iBoxx EUR Corporates Net Zero 2050 Paris-Aligned ESG Index115</v>
      </c>
      <c r="C119" t="s">
        <v>533</v>
      </c>
      <c r="D119" t="s">
        <v>163</v>
      </c>
      <c r="E119" t="s">
        <v>534</v>
      </c>
      <c r="F119">
        <v>115</v>
      </c>
      <c r="G119" t="s">
        <v>535</v>
      </c>
      <c r="H119" s="26">
        <v>46996</v>
      </c>
      <c r="I119" s="33"/>
      <c r="J119" s="33">
        <f t="shared" si="46"/>
        <v>0</v>
      </c>
      <c r="K119" s="33">
        <f t="shared" si="47"/>
        <v>4938571.3029658254</v>
      </c>
      <c r="L119" s="33">
        <f t="shared" si="48"/>
        <v>0</v>
      </c>
      <c r="M119" s="33">
        <f t="shared" si="49"/>
        <v>0</v>
      </c>
      <c r="N119" s="33"/>
      <c r="O119" s="40"/>
      <c r="P119" s="155" t="s">
        <v>536</v>
      </c>
      <c r="R119">
        <f t="shared" si="50"/>
        <v>0</v>
      </c>
      <c r="S119">
        <f t="shared" si="51"/>
        <v>0</v>
      </c>
      <c r="T119">
        <f t="shared" si="52"/>
        <v>4938571302965.8252</v>
      </c>
      <c r="U119">
        <f t="shared" si="53"/>
        <v>0</v>
      </c>
      <c r="V119">
        <f t="shared" si="54"/>
        <v>0</v>
      </c>
      <c r="W119">
        <f t="shared" si="55"/>
        <v>0</v>
      </c>
      <c r="Z119" s="32"/>
      <c r="AA119" s="32" t="str">
        <f t="shared" si="56"/>
        <v/>
      </c>
      <c r="AB119" s="32" t="e">
        <f t="shared" si="57"/>
        <v>#N/A</v>
      </c>
      <c r="AC119" s="32" t="e">
        <f t="shared" si="58"/>
        <v>#N/A</v>
      </c>
      <c r="AD119" s="32" t="e">
        <f t="shared" si="59"/>
        <v>#N/A</v>
      </c>
      <c r="AE119" s="32"/>
    </row>
    <row r="120" spans="2:31" ht="15" x14ac:dyDescent="0.35">
      <c r="B120" t="str">
        <f t="shared" si="45"/>
        <v>iBoxx EUR Corporates Net Zero 2050 Paris-Aligned ESG Index116</v>
      </c>
      <c r="C120" t="s">
        <v>533</v>
      </c>
      <c r="D120" t="s">
        <v>163</v>
      </c>
      <c r="E120" t="s">
        <v>534</v>
      </c>
      <c r="F120">
        <v>116</v>
      </c>
      <c r="G120" t="s">
        <v>535</v>
      </c>
      <c r="H120" s="26">
        <v>47026</v>
      </c>
      <c r="I120" s="33"/>
      <c r="J120" s="33">
        <f t="shared" si="46"/>
        <v>0</v>
      </c>
      <c r="K120" s="33">
        <f t="shared" si="47"/>
        <v>4908795.135173711</v>
      </c>
      <c r="L120" s="33">
        <f t="shared" si="48"/>
        <v>0</v>
      </c>
      <c r="M120" s="33">
        <f t="shared" si="49"/>
        <v>0</v>
      </c>
      <c r="N120" s="33"/>
      <c r="O120" s="40"/>
      <c r="P120" s="155" t="s">
        <v>536</v>
      </c>
      <c r="R120">
        <f t="shared" si="50"/>
        <v>0</v>
      </c>
      <c r="S120">
        <f t="shared" si="51"/>
        <v>0</v>
      </c>
      <c r="T120">
        <f t="shared" si="52"/>
        <v>4908795135173.7109</v>
      </c>
      <c r="U120">
        <f t="shared" si="53"/>
        <v>0</v>
      </c>
      <c r="V120">
        <f t="shared" si="54"/>
        <v>0</v>
      </c>
      <c r="W120">
        <f t="shared" si="55"/>
        <v>0</v>
      </c>
      <c r="Z120" s="32"/>
      <c r="AA120" s="32" t="str">
        <f t="shared" si="56"/>
        <v/>
      </c>
      <c r="AB120" s="32" t="e">
        <f t="shared" si="57"/>
        <v>#N/A</v>
      </c>
      <c r="AC120" s="32" t="e">
        <f t="shared" si="58"/>
        <v>#N/A</v>
      </c>
      <c r="AD120" s="32" t="e">
        <f t="shared" si="59"/>
        <v>#N/A</v>
      </c>
      <c r="AE120" s="32"/>
    </row>
    <row r="121" spans="2:31" ht="15" x14ac:dyDescent="0.35">
      <c r="B121" t="str">
        <f t="shared" si="45"/>
        <v>iBoxx EUR Corporates Net Zero 2050 Paris-Aligned ESG Index117</v>
      </c>
      <c r="C121" t="s">
        <v>533</v>
      </c>
      <c r="D121" t="s">
        <v>163</v>
      </c>
      <c r="E121" t="s">
        <v>534</v>
      </c>
      <c r="F121">
        <v>117</v>
      </c>
      <c r="G121" t="s">
        <v>535</v>
      </c>
      <c r="H121" s="26">
        <v>47057</v>
      </c>
      <c r="I121" s="33"/>
      <c r="J121" s="33">
        <f t="shared" si="46"/>
        <v>0</v>
      </c>
      <c r="K121" s="33">
        <f t="shared" si="47"/>
        <v>4879198.4970702436</v>
      </c>
      <c r="L121" s="33">
        <f t="shared" si="48"/>
        <v>0</v>
      </c>
      <c r="M121" s="33">
        <f t="shared" si="49"/>
        <v>0</v>
      </c>
      <c r="N121" s="33"/>
      <c r="O121" s="40"/>
      <c r="P121" s="155" t="s">
        <v>536</v>
      </c>
      <c r="R121">
        <f t="shared" si="50"/>
        <v>0</v>
      </c>
      <c r="S121">
        <f t="shared" si="51"/>
        <v>0</v>
      </c>
      <c r="T121">
        <f t="shared" si="52"/>
        <v>4879198497070.2432</v>
      </c>
      <c r="U121">
        <f t="shared" si="53"/>
        <v>0</v>
      </c>
      <c r="V121">
        <f t="shared" si="54"/>
        <v>0</v>
      </c>
      <c r="W121">
        <f t="shared" si="55"/>
        <v>0</v>
      </c>
      <c r="Z121" s="32"/>
      <c r="AA121" s="32" t="str">
        <f t="shared" si="56"/>
        <v/>
      </c>
      <c r="AB121" s="32" t="e">
        <f t="shared" si="57"/>
        <v>#N/A</v>
      </c>
      <c r="AC121" s="32" t="e">
        <f t="shared" si="58"/>
        <v>#N/A</v>
      </c>
      <c r="AD121" s="32" t="e">
        <f t="shared" si="59"/>
        <v>#N/A</v>
      </c>
      <c r="AE121" s="32"/>
    </row>
    <row r="122" spans="2:31" ht="15" x14ac:dyDescent="0.35">
      <c r="B122" t="str">
        <f t="shared" si="45"/>
        <v>iBoxx EUR Corporates Net Zero 2050 Paris-Aligned ESG Index118</v>
      </c>
      <c r="C122" t="s">
        <v>533</v>
      </c>
      <c r="D122" t="s">
        <v>163</v>
      </c>
      <c r="E122" t="s">
        <v>534</v>
      </c>
      <c r="F122">
        <v>118</v>
      </c>
      <c r="G122" t="s">
        <v>535</v>
      </c>
      <c r="H122" s="26">
        <v>47087</v>
      </c>
      <c r="I122" s="33"/>
      <c r="J122" s="33">
        <f t="shared" si="46"/>
        <v>0</v>
      </c>
      <c r="K122" s="33">
        <f t="shared" si="47"/>
        <v>4849780.3062156234</v>
      </c>
      <c r="L122" s="33">
        <f t="shared" si="48"/>
        <v>0</v>
      </c>
      <c r="M122" s="33">
        <f t="shared" si="49"/>
        <v>0</v>
      </c>
      <c r="N122" s="33"/>
      <c r="O122" s="40"/>
      <c r="P122" s="155" t="s">
        <v>536</v>
      </c>
      <c r="R122">
        <f t="shared" si="50"/>
        <v>0</v>
      </c>
      <c r="S122">
        <f t="shared" si="51"/>
        <v>0</v>
      </c>
      <c r="T122">
        <f t="shared" si="52"/>
        <v>4849780306215.623</v>
      </c>
      <c r="U122">
        <f t="shared" si="53"/>
        <v>0</v>
      </c>
      <c r="V122">
        <f t="shared" si="54"/>
        <v>0</v>
      </c>
      <c r="W122">
        <f t="shared" si="55"/>
        <v>0</v>
      </c>
      <c r="Z122" s="32"/>
      <c r="AA122" s="32" t="str">
        <f t="shared" si="56"/>
        <v/>
      </c>
      <c r="AB122" s="32" t="e">
        <f t="shared" si="57"/>
        <v>#N/A</v>
      </c>
      <c r="AC122" s="32" t="e">
        <f t="shared" si="58"/>
        <v>#N/A</v>
      </c>
      <c r="AD122" s="32" t="e">
        <f t="shared" si="59"/>
        <v>#N/A</v>
      </c>
      <c r="AE122" s="32"/>
    </row>
    <row r="123" spans="2:31" ht="15" x14ac:dyDescent="0.35">
      <c r="B123" t="str">
        <f t="shared" si="45"/>
        <v>iBoxx EUR Corporates Net Zero 2050 Paris-Aligned ESG Index119</v>
      </c>
      <c r="C123" t="s">
        <v>533</v>
      </c>
      <c r="D123" t="s">
        <v>163</v>
      </c>
      <c r="E123" t="s">
        <v>534</v>
      </c>
      <c r="F123">
        <v>119</v>
      </c>
      <c r="G123" t="s">
        <v>535</v>
      </c>
      <c r="H123" s="26">
        <v>47118</v>
      </c>
      <c r="I123" s="33"/>
      <c r="J123" s="33">
        <f t="shared" si="46"/>
        <v>0</v>
      </c>
      <c r="K123" s="33">
        <f t="shared" si="47"/>
        <v>4820539.4866964146</v>
      </c>
      <c r="L123" s="33">
        <f t="shared" si="48"/>
        <v>0</v>
      </c>
      <c r="M123" s="33">
        <f t="shared" si="49"/>
        <v>0</v>
      </c>
      <c r="N123" s="33"/>
      <c r="O123" s="40"/>
      <c r="P123" s="155" t="s">
        <v>536</v>
      </c>
      <c r="R123">
        <f t="shared" si="50"/>
        <v>0</v>
      </c>
      <c r="S123">
        <f t="shared" si="51"/>
        <v>0</v>
      </c>
      <c r="T123">
        <f t="shared" si="52"/>
        <v>4820539486696.415</v>
      </c>
      <c r="U123">
        <f t="shared" si="53"/>
        <v>0</v>
      </c>
      <c r="V123">
        <f t="shared" si="54"/>
        <v>0</v>
      </c>
      <c r="W123">
        <f t="shared" si="55"/>
        <v>0</v>
      </c>
      <c r="Z123" s="32"/>
      <c r="AA123" s="32" t="str">
        <f t="shared" si="56"/>
        <v/>
      </c>
      <c r="AB123" s="32" t="e">
        <f t="shared" si="57"/>
        <v>#N/A</v>
      </c>
      <c r="AC123" s="32" t="e">
        <f t="shared" si="58"/>
        <v>#N/A</v>
      </c>
      <c r="AD123" s="32" t="e">
        <f t="shared" si="59"/>
        <v>#N/A</v>
      </c>
      <c r="AE123" s="32"/>
    </row>
    <row r="124" spans="2:31" ht="15" x14ac:dyDescent="0.35">
      <c r="B124" t="str">
        <f t="shared" si="45"/>
        <v>iBoxx MSCI USD High Yield Paris Aligned Capped TCA Index0</v>
      </c>
      <c r="C124" t="s">
        <v>119</v>
      </c>
      <c r="D124" t="s">
        <v>537</v>
      </c>
      <c r="E124" t="s">
        <v>538</v>
      </c>
      <c r="F124">
        <v>0</v>
      </c>
      <c r="G124" t="s">
        <v>535</v>
      </c>
      <c r="H124" s="26">
        <v>44926</v>
      </c>
      <c r="I124" s="33">
        <v>22087679.367848799</v>
      </c>
      <c r="J124" s="128">
        <f t="shared" si="46"/>
        <v>11043839.683924399</v>
      </c>
      <c r="K124" s="33">
        <f t="shared" si="47"/>
        <v>11043839.683924399</v>
      </c>
      <c r="L124" s="33">
        <f t="shared" ref="L124:L132" si="60">MIN(J124,K124)</f>
        <v>11043839.683924399</v>
      </c>
      <c r="M124" s="33"/>
      <c r="N124" s="33">
        <v>11043839.6688109</v>
      </c>
      <c r="O124" s="156">
        <v>0.40947030899999998</v>
      </c>
      <c r="P124" s="155" t="s">
        <v>539</v>
      </c>
    </row>
    <row r="125" spans="2:31" ht="15" x14ac:dyDescent="0.35">
      <c r="B125" t="str">
        <f t="shared" ref="B125:B188" si="61">_xlfn.CONCAT(C125,F125)</f>
        <v>iBoxx MSCI USD High Yield Paris Aligned Capped TCA Index1</v>
      </c>
      <c r="C125" t="s">
        <v>119</v>
      </c>
      <c r="D125" t="s">
        <v>537</v>
      </c>
      <c r="E125" t="s">
        <v>538</v>
      </c>
      <c r="F125">
        <v>1</v>
      </c>
      <c r="G125" t="s">
        <v>535</v>
      </c>
      <c r="H125" s="26">
        <v>44957</v>
      </c>
      <c r="I125" s="33">
        <v>21222388.586199999</v>
      </c>
      <c r="J125" s="33">
        <f t="shared" ref="J125:J188" si="62">IF(G125="PA",I125*0.5,IF(G125="CT",I125*0.7,""))</f>
        <v>10611194.293099999</v>
      </c>
      <c r="K125" s="33">
        <f t="shared" ref="K125:K131" si="63">VLOOKUP(C125,$C:$K,8,FALSE)*0.93^(F125/12)</f>
        <v>10977252.972237101</v>
      </c>
      <c r="L125" s="33">
        <f t="shared" si="60"/>
        <v>10611194.293099999</v>
      </c>
      <c r="M125" s="33">
        <f t="shared" ref="M125:M132" si="64">L125*0.975</f>
        <v>10345914.435772499</v>
      </c>
      <c r="N125" s="33">
        <v>10345914.25</v>
      </c>
      <c r="O125" s="156">
        <v>0.41492990200000002</v>
      </c>
      <c r="P125" s="155" t="s">
        <v>539</v>
      </c>
    </row>
    <row r="126" spans="2:31" ht="15" x14ac:dyDescent="0.35">
      <c r="B126" t="str">
        <f t="shared" si="61"/>
        <v>iBoxx MSCI USD High Yield Paris Aligned Capped TCA Index2</v>
      </c>
      <c r="C126" t="s">
        <v>119</v>
      </c>
      <c r="D126" t="s">
        <v>537</v>
      </c>
      <c r="E126" t="s">
        <v>538</v>
      </c>
      <c r="F126">
        <v>2</v>
      </c>
      <c r="G126" t="s">
        <v>535</v>
      </c>
      <c r="H126" s="26">
        <v>44985</v>
      </c>
      <c r="I126" s="33">
        <v>19392532.301708002</v>
      </c>
      <c r="J126" s="33">
        <f t="shared" si="62"/>
        <v>9696266.1508540008</v>
      </c>
      <c r="K126" s="33">
        <f t="shared" si="63"/>
        <v>10911067.732347677</v>
      </c>
      <c r="L126" s="33">
        <f t="shared" si="60"/>
        <v>9696266.1508540008</v>
      </c>
      <c r="M126" s="33">
        <f t="shared" si="64"/>
        <v>9453859.4970826507</v>
      </c>
      <c r="N126" s="33">
        <v>9464970.9272515699</v>
      </c>
      <c r="O126" s="156">
        <v>0.42093003200000001</v>
      </c>
      <c r="P126" s="155" t="s">
        <v>539</v>
      </c>
    </row>
    <row r="127" spans="2:31" ht="15" x14ac:dyDescent="0.35">
      <c r="B127" t="str">
        <f t="shared" si="61"/>
        <v>iBoxx MSCI USD High Yield Paris Aligned Capped TCA Index3</v>
      </c>
      <c r="C127" t="s">
        <v>119</v>
      </c>
      <c r="D127" t="s">
        <v>537</v>
      </c>
      <c r="E127" t="s">
        <v>538</v>
      </c>
      <c r="F127">
        <v>3</v>
      </c>
      <c r="G127" t="s">
        <v>535</v>
      </c>
      <c r="H127" s="26">
        <v>45016</v>
      </c>
      <c r="I127" s="33">
        <v>20512132.121861</v>
      </c>
      <c r="J127" s="33">
        <f t="shared" si="62"/>
        <v>10256066.0609305</v>
      </c>
      <c r="K127" s="33">
        <f t="shared" si="63"/>
        <v>10845281.543658976</v>
      </c>
      <c r="L127" s="33">
        <f t="shared" si="60"/>
        <v>10256066.0609305</v>
      </c>
      <c r="M127" s="33">
        <f t="shared" si="64"/>
        <v>9999664.4094072375</v>
      </c>
      <c r="N127" s="33">
        <v>9999664.3846202698</v>
      </c>
      <c r="O127" s="156">
        <v>0.41672598799999999</v>
      </c>
      <c r="P127" s="155" t="s">
        <v>539</v>
      </c>
    </row>
    <row r="128" spans="2:31" ht="15" x14ac:dyDescent="0.35">
      <c r="B128" t="str">
        <f t="shared" si="61"/>
        <v>iBoxx MSCI USD High Yield Paris Aligned Capped TCA Index4</v>
      </c>
      <c r="C128" t="s">
        <v>119</v>
      </c>
      <c r="D128" t="s">
        <v>537</v>
      </c>
      <c r="E128" t="s">
        <v>538</v>
      </c>
      <c r="F128">
        <v>4</v>
      </c>
      <c r="G128" t="s">
        <v>535</v>
      </c>
      <c r="H128" s="26">
        <v>45046</v>
      </c>
      <c r="I128" s="33">
        <v>23010396.272434399</v>
      </c>
      <c r="J128" s="33">
        <f t="shared" si="62"/>
        <v>11505198.136217199</v>
      </c>
      <c r="K128" s="33">
        <f t="shared" si="63"/>
        <v>10779892.000168376</v>
      </c>
      <c r="L128" s="33">
        <f t="shared" si="60"/>
        <v>10779892.000168376</v>
      </c>
      <c r="M128" s="33">
        <f t="shared" si="64"/>
        <v>10510394.700164165</v>
      </c>
      <c r="N128" s="33">
        <v>10510394.6029379</v>
      </c>
      <c r="O128" s="156">
        <v>0.42698655400000002</v>
      </c>
      <c r="P128" s="155" t="s">
        <v>539</v>
      </c>
    </row>
    <row r="129" spans="2:16" ht="15" x14ac:dyDescent="0.35">
      <c r="B129" t="str">
        <f t="shared" si="61"/>
        <v>iBoxx MSCI USD High Yield Paris Aligned Capped TCA Index5</v>
      </c>
      <c r="C129" t="s">
        <v>119</v>
      </c>
      <c r="D129" t="s">
        <v>537</v>
      </c>
      <c r="E129" t="s">
        <v>538</v>
      </c>
      <c r="F129">
        <v>5</v>
      </c>
      <c r="G129" t="s">
        <v>535</v>
      </c>
      <c r="H129" s="26">
        <v>45077</v>
      </c>
      <c r="I129" s="33">
        <v>20712667.602035701</v>
      </c>
      <c r="J129" s="33">
        <f t="shared" si="62"/>
        <v>10356333.801017851</v>
      </c>
      <c r="K129" s="33">
        <f t="shared" si="63"/>
        <v>10714896.710379783</v>
      </c>
      <c r="L129" s="33">
        <f t="shared" si="60"/>
        <v>10356333.801017851</v>
      </c>
      <c r="M129" s="33">
        <f t="shared" si="64"/>
        <v>10097425.455992404</v>
      </c>
      <c r="N129" s="33">
        <v>10097425.4098232</v>
      </c>
      <c r="O129" s="156">
        <v>0.42878445399999998</v>
      </c>
      <c r="P129" s="155" t="s">
        <v>539</v>
      </c>
    </row>
    <row r="130" spans="2:16" ht="15" x14ac:dyDescent="0.35">
      <c r="B130" t="str">
        <f t="shared" si="61"/>
        <v>iBoxx MSCI USD High Yield Paris Aligned Capped TCA Index6</v>
      </c>
      <c r="C130" t="s">
        <v>119</v>
      </c>
      <c r="D130" t="s">
        <v>537</v>
      </c>
      <c r="E130" t="s">
        <v>538</v>
      </c>
      <c r="F130">
        <v>6</v>
      </c>
      <c r="G130" t="s">
        <v>535</v>
      </c>
      <c r="H130" s="26">
        <v>45107</v>
      </c>
      <c r="I130" s="33">
        <v>21810241.148962598</v>
      </c>
      <c r="J130" s="33">
        <f t="shared" si="62"/>
        <v>10905120.574481299</v>
      </c>
      <c r="K130" s="33">
        <f t="shared" si="63"/>
        <v>10650293.297216173</v>
      </c>
      <c r="L130" s="33">
        <f t="shared" si="60"/>
        <v>10650293.297216173</v>
      </c>
      <c r="M130" s="33">
        <f t="shared" si="64"/>
        <v>10384035.96478577</v>
      </c>
      <c r="N130" s="33">
        <v>10384035.864469299</v>
      </c>
      <c r="O130" s="156">
        <v>0.433966933</v>
      </c>
      <c r="P130" s="155" t="s">
        <v>539</v>
      </c>
    </row>
    <row r="131" spans="2:16" ht="15" x14ac:dyDescent="0.35">
      <c r="B131" t="str">
        <f t="shared" si="61"/>
        <v>iBoxx MSCI USD High Yield Paris Aligned Capped TCA Index7</v>
      </c>
      <c r="C131" t="s">
        <v>119</v>
      </c>
      <c r="D131" t="s">
        <v>537</v>
      </c>
      <c r="E131" t="s">
        <v>538</v>
      </c>
      <c r="F131">
        <v>7</v>
      </c>
      <c r="G131" t="s">
        <v>535</v>
      </c>
      <c r="H131" s="26">
        <v>45138</v>
      </c>
      <c r="I131" s="33">
        <v>22772164.090626098</v>
      </c>
      <c r="J131" s="33">
        <f t="shared" si="62"/>
        <v>11386082.045313049</v>
      </c>
      <c r="K131" s="33">
        <f t="shared" si="63"/>
        <v>10586079.397932651</v>
      </c>
      <c r="L131" s="33">
        <f t="shared" si="60"/>
        <v>10586079.397932651</v>
      </c>
      <c r="M131" s="33">
        <f t="shared" si="64"/>
        <v>10321427.412984334</v>
      </c>
      <c r="N131" s="33">
        <v>10321427.4012064</v>
      </c>
      <c r="O131" s="156">
        <v>0.43589911599999998</v>
      </c>
      <c r="P131" s="155" t="s">
        <v>539</v>
      </c>
    </row>
    <row r="132" spans="2:16" ht="15" x14ac:dyDescent="0.35">
      <c r="B132" t="str">
        <f t="shared" si="61"/>
        <v>iBoxx MSCI USD High Yield Paris Aligned Capped TCA Index8</v>
      </c>
      <c r="C132" t="s">
        <v>119</v>
      </c>
      <c r="D132" t="s">
        <v>537</v>
      </c>
      <c r="E132" t="s">
        <v>538</v>
      </c>
      <c r="F132">
        <v>8</v>
      </c>
      <c r="G132" t="s">
        <v>535</v>
      </c>
      <c r="H132" s="26">
        <v>45169</v>
      </c>
      <c r="I132" s="33">
        <v>22065671.496515401</v>
      </c>
      <c r="J132" s="33">
        <f t="shared" si="62"/>
        <v>11032835.7482577</v>
      </c>
      <c r="K132" s="33">
        <f t="shared" ref="K132:K195" si="65">VLOOKUP(C132,$C:$K,8,FALSE)*0.93^(F132/12)</f>
        <v>10522252.664030034</v>
      </c>
      <c r="L132" s="33">
        <f t="shared" si="60"/>
        <v>10522252.664030034</v>
      </c>
      <c r="M132" s="33">
        <f t="shared" si="64"/>
        <v>10259196.347429283</v>
      </c>
      <c r="N132" s="33">
        <v>10259196.3295747</v>
      </c>
      <c r="O132" s="156">
        <v>0.43712829199999997</v>
      </c>
      <c r="P132" s="155" t="s">
        <v>539</v>
      </c>
    </row>
    <row r="133" spans="2:16" ht="15" x14ac:dyDescent="0.35">
      <c r="B133" t="str">
        <f t="shared" si="61"/>
        <v>iBoxx MSCI USD High Yield Paris Aligned Capped TCA Index9</v>
      </c>
      <c r="C133" t="s">
        <v>119</v>
      </c>
      <c r="D133" t="s">
        <v>537</v>
      </c>
      <c r="E133" t="s">
        <v>538</v>
      </c>
      <c r="F133">
        <v>9</v>
      </c>
      <c r="G133" t="s">
        <v>535</v>
      </c>
      <c r="H133" s="26">
        <v>45199</v>
      </c>
      <c r="I133" s="33">
        <v>22037471.690000001</v>
      </c>
      <c r="J133" s="33">
        <f t="shared" si="62"/>
        <v>11018735.845000001</v>
      </c>
      <c r="K133" s="33">
        <f t="shared" si="65"/>
        <v>10458810.761168974</v>
      </c>
      <c r="L133" s="33">
        <f t="shared" ref="L133:L196" si="66">MIN(J133,K133)</f>
        <v>10458810.761168974</v>
      </c>
      <c r="M133" s="33">
        <f t="shared" ref="M133:M196" si="67">L133*0.975</f>
        <v>10197340.492139749</v>
      </c>
      <c r="N133" s="33">
        <v>9978682.2170000002</v>
      </c>
      <c r="O133" s="156">
        <v>0.437616901</v>
      </c>
      <c r="P133" s="155" t="s">
        <v>539</v>
      </c>
    </row>
    <row r="134" spans="2:16" ht="15" x14ac:dyDescent="0.35">
      <c r="B134" t="str">
        <f t="shared" si="61"/>
        <v>iBoxx MSCI USD High Yield Paris Aligned Capped TCA Index10</v>
      </c>
      <c r="C134" t="s">
        <v>119</v>
      </c>
      <c r="D134" t="s">
        <v>537</v>
      </c>
      <c r="E134" t="s">
        <v>538</v>
      </c>
      <c r="F134">
        <v>10</v>
      </c>
      <c r="G134" t="s">
        <v>535</v>
      </c>
      <c r="H134" s="26">
        <v>45230</v>
      </c>
      <c r="I134" s="33">
        <v>19438690.739999998</v>
      </c>
      <c r="J134" s="33">
        <f t="shared" si="62"/>
        <v>9719345.3699999992</v>
      </c>
      <c r="K134" s="33">
        <f t="shared" si="65"/>
        <v>10395751.369084563</v>
      </c>
      <c r="L134" s="33">
        <f t="shared" si="66"/>
        <v>9719345.3699999992</v>
      </c>
      <c r="M134" s="33">
        <f t="shared" si="67"/>
        <v>9476361.7357499991</v>
      </c>
      <c r="N134" s="33">
        <v>9476361.7009999994</v>
      </c>
      <c r="O134" s="156">
        <v>0.43384268399999998</v>
      </c>
      <c r="P134" s="155" t="s">
        <v>539</v>
      </c>
    </row>
    <row r="135" spans="2:16" ht="15" x14ac:dyDescent="0.35">
      <c r="B135" t="str">
        <f t="shared" si="61"/>
        <v>iBoxx MSCI USD High Yield Paris Aligned Capped TCA Index11</v>
      </c>
      <c r="C135" t="s">
        <v>119</v>
      </c>
      <c r="D135" t="s">
        <v>537</v>
      </c>
      <c r="E135" t="s">
        <v>538</v>
      </c>
      <c r="F135">
        <v>11</v>
      </c>
      <c r="G135" t="s">
        <v>535</v>
      </c>
      <c r="H135" s="26">
        <v>45260</v>
      </c>
      <c r="I135" s="33">
        <v>14244619.58</v>
      </c>
      <c r="J135" s="33">
        <f t="shared" si="62"/>
        <v>7122309.79</v>
      </c>
      <c r="K135" s="33">
        <f t="shared" si="65"/>
        <v>10333072.181501491</v>
      </c>
      <c r="L135" s="33">
        <f t="shared" si="66"/>
        <v>7122309.79</v>
      </c>
      <c r="M135" s="33">
        <f t="shared" si="67"/>
        <v>6944252.0452499995</v>
      </c>
      <c r="N135" s="33">
        <v>6870223.3260000004</v>
      </c>
      <c r="O135" s="156">
        <v>0.43395878300000001</v>
      </c>
      <c r="P135" s="155" t="s">
        <v>539</v>
      </c>
    </row>
    <row r="136" spans="2:16" ht="15" x14ac:dyDescent="0.35">
      <c r="B136" t="str">
        <f t="shared" si="61"/>
        <v>iBoxx MSCI USD High Yield Paris Aligned Capped TCA Index12</v>
      </c>
      <c r="C136" t="s">
        <v>119</v>
      </c>
      <c r="D136" t="s">
        <v>537</v>
      </c>
      <c r="E136" t="s">
        <v>538</v>
      </c>
      <c r="F136">
        <v>12</v>
      </c>
      <c r="G136" t="s">
        <v>535</v>
      </c>
      <c r="H136" s="26">
        <v>45291</v>
      </c>
      <c r="I136" s="33">
        <v>14248649.2391132</v>
      </c>
      <c r="J136" s="33">
        <f t="shared" si="62"/>
        <v>7124324.6195566002</v>
      </c>
      <c r="K136" s="33">
        <f t="shared" si="65"/>
        <v>10270770.906049691</v>
      </c>
      <c r="L136" s="33">
        <f t="shared" si="66"/>
        <v>7124324.6195566002</v>
      </c>
      <c r="M136" s="33">
        <f t="shared" si="67"/>
        <v>6946216.5040676855</v>
      </c>
      <c r="N136" s="33">
        <v>6946216.4578042096</v>
      </c>
      <c r="O136" s="156">
        <v>0.43171870899999998</v>
      </c>
      <c r="P136" s="155" t="s">
        <v>539</v>
      </c>
    </row>
    <row r="137" spans="2:16" ht="15" x14ac:dyDescent="0.35">
      <c r="B137" t="str">
        <f t="shared" si="61"/>
        <v>iBoxx MSCI USD High Yield Paris Aligned Capped TCA Index13</v>
      </c>
      <c r="C137" t="s">
        <v>119</v>
      </c>
      <c r="D137" t="s">
        <v>537</v>
      </c>
      <c r="E137" t="s">
        <v>538</v>
      </c>
      <c r="F137">
        <v>13</v>
      </c>
      <c r="G137" t="s">
        <v>535</v>
      </c>
      <c r="H137" s="26">
        <v>45322</v>
      </c>
      <c r="I137" s="33">
        <v>13972102.0098949</v>
      </c>
      <c r="J137" s="33">
        <f t="shared" si="62"/>
        <v>6986051.00494745</v>
      </c>
      <c r="K137" s="33">
        <f t="shared" si="65"/>
        <v>10208845.264180504</v>
      </c>
      <c r="L137" s="33">
        <f t="shared" si="66"/>
        <v>6986051.00494745</v>
      </c>
      <c r="M137" s="33">
        <f t="shared" si="67"/>
        <v>6811399.7298237635</v>
      </c>
      <c r="N137" s="33">
        <v>6811399.7003903203</v>
      </c>
      <c r="O137" s="156">
        <v>0.43454085199999998</v>
      </c>
      <c r="P137" s="155" t="s">
        <v>539</v>
      </c>
    </row>
    <row r="138" spans="2:16" ht="15" x14ac:dyDescent="0.35">
      <c r="B138" t="str">
        <f t="shared" si="61"/>
        <v>iBoxx MSCI USD High Yield Paris Aligned Capped TCA Index14</v>
      </c>
      <c r="C138" t="s">
        <v>119</v>
      </c>
      <c r="D138" t="s">
        <v>537</v>
      </c>
      <c r="E138" t="s">
        <v>538</v>
      </c>
      <c r="F138">
        <v>14</v>
      </c>
      <c r="G138" t="s">
        <v>535</v>
      </c>
      <c r="H138" s="26">
        <v>45350</v>
      </c>
      <c r="I138" s="33">
        <v>14064260.4934361</v>
      </c>
      <c r="J138" s="33">
        <f t="shared" si="62"/>
        <v>7032130.24671805</v>
      </c>
      <c r="K138" s="33">
        <f t="shared" si="65"/>
        <v>10147292.991083339</v>
      </c>
      <c r="L138" s="33">
        <f t="shared" si="66"/>
        <v>7032130.24671805</v>
      </c>
      <c r="M138" s="33">
        <f t="shared" si="67"/>
        <v>6856326.9905500989</v>
      </c>
      <c r="N138" s="33">
        <v>6856326.8926061299</v>
      </c>
      <c r="O138" s="156">
        <v>0.43657117499999998</v>
      </c>
      <c r="P138" s="155" t="s">
        <v>539</v>
      </c>
    </row>
    <row r="139" spans="2:16" ht="15" x14ac:dyDescent="0.35">
      <c r="B139" t="str">
        <f t="shared" si="61"/>
        <v>iBoxx MSCI USD High Yield Paris Aligned Capped TCA Index15</v>
      </c>
      <c r="C139" t="s">
        <v>119</v>
      </c>
      <c r="D139" t="s">
        <v>537</v>
      </c>
      <c r="E139" t="s">
        <v>538</v>
      </c>
      <c r="F139">
        <v>15</v>
      </c>
      <c r="G139" t="s">
        <v>535</v>
      </c>
      <c r="H139" s="26">
        <v>45382</v>
      </c>
      <c r="I139" s="33">
        <v>14077951.063272599</v>
      </c>
      <c r="J139" s="33">
        <f t="shared" si="62"/>
        <v>7038975.5316362996</v>
      </c>
      <c r="K139" s="33">
        <f t="shared" si="65"/>
        <v>10086111.835602848</v>
      </c>
      <c r="L139" s="33">
        <f t="shared" si="66"/>
        <v>7038975.5316362996</v>
      </c>
      <c r="M139" s="33">
        <f t="shared" si="67"/>
        <v>6863001.1433453923</v>
      </c>
      <c r="N139" s="33">
        <v>6863001.1161102699</v>
      </c>
      <c r="O139" s="156">
        <v>0.43484883899999999</v>
      </c>
      <c r="P139" s="155" t="s">
        <v>539</v>
      </c>
    </row>
    <row r="140" spans="2:16" ht="15" x14ac:dyDescent="0.35">
      <c r="B140" t="str">
        <f t="shared" si="61"/>
        <v>iBoxx MSCI USD High Yield Paris Aligned Capped TCA Index16</v>
      </c>
      <c r="C140" t="s">
        <v>119</v>
      </c>
      <c r="D140" t="s">
        <v>537</v>
      </c>
      <c r="E140" t="s">
        <v>538</v>
      </c>
      <c r="F140">
        <v>16</v>
      </c>
      <c r="G140" t="s">
        <v>535</v>
      </c>
      <c r="H140" s="26">
        <v>45412</v>
      </c>
      <c r="I140" s="33">
        <v>18063117</v>
      </c>
      <c r="J140" s="33">
        <f t="shared" si="62"/>
        <v>9031558.5</v>
      </c>
      <c r="K140" s="33">
        <f t="shared" si="65"/>
        <v>10025299.560156589</v>
      </c>
      <c r="L140" s="33">
        <f t="shared" si="66"/>
        <v>9031558.5</v>
      </c>
      <c r="M140" s="33">
        <f t="shared" si="67"/>
        <v>8805769.5374999996</v>
      </c>
      <c r="N140" s="33">
        <v>7522603</v>
      </c>
      <c r="O140" s="156">
        <v>0.43339106199999999</v>
      </c>
      <c r="P140" s="155" t="s">
        <v>539</v>
      </c>
    </row>
    <row r="141" spans="2:16" ht="15" x14ac:dyDescent="0.35">
      <c r="B141" t="str">
        <f t="shared" si="61"/>
        <v>iBoxx MSCI USD High Yield Paris Aligned Capped TCA Index17</v>
      </c>
      <c r="C141" t="s">
        <v>119</v>
      </c>
      <c r="D141" t="s">
        <v>537</v>
      </c>
      <c r="E141" t="s">
        <v>538</v>
      </c>
      <c r="F141">
        <v>17</v>
      </c>
      <c r="G141" t="s">
        <v>535</v>
      </c>
      <c r="H141" s="26">
        <v>45443</v>
      </c>
      <c r="I141" s="33">
        <v>17962993</v>
      </c>
      <c r="J141" s="33">
        <f t="shared" si="62"/>
        <v>8981496.5</v>
      </c>
      <c r="K141" s="33">
        <f t="shared" si="65"/>
        <v>9964853.9406531975</v>
      </c>
      <c r="L141" s="33">
        <f t="shared" si="66"/>
        <v>8981496.5</v>
      </c>
      <c r="M141" s="33">
        <f t="shared" si="67"/>
        <v>8756959.0875000004</v>
      </c>
      <c r="N141" s="33">
        <v>7886498</v>
      </c>
      <c r="O141" s="156">
        <v>0.43605810699999997</v>
      </c>
      <c r="P141" s="155" t="s">
        <v>539</v>
      </c>
    </row>
    <row r="142" spans="2:16" ht="15" x14ac:dyDescent="0.35">
      <c r="B142" t="str">
        <f t="shared" si="61"/>
        <v>iBoxx MSCI USD High Yield Paris Aligned Capped TCA Index18</v>
      </c>
      <c r="C142" t="s">
        <v>119</v>
      </c>
      <c r="D142" t="s">
        <v>537</v>
      </c>
      <c r="E142" t="s">
        <v>538</v>
      </c>
      <c r="F142">
        <v>18</v>
      </c>
      <c r="G142" t="s">
        <v>535</v>
      </c>
      <c r="H142" s="26">
        <v>45473</v>
      </c>
      <c r="I142" s="33">
        <v>16929047.233634502</v>
      </c>
      <c r="J142" s="33">
        <f t="shared" si="62"/>
        <v>8464523.6168172508</v>
      </c>
      <c r="K142" s="33">
        <f t="shared" si="65"/>
        <v>9904772.7664110418</v>
      </c>
      <c r="L142" s="33">
        <f t="shared" si="66"/>
        <v>8464523.6168172508</v>
      </c>
      <c r="M142" s="33">
        <f t="shared" si="67"/>
        <v>8252910.5263968194</v>
      </c>
      <c r="N142" s="33">
        <v>7779797.3711640099</v>
      </c>
      <c r="O142" s="156">
        <v>0.43531945700000002</v>
      </c>
      <c r="P142" s="155" t="s">
        <v>539</v>
      </c>
    </row>
    <row r="143" spans="2:16" ht="15" x14ac:dyDescent="0.35">
      <c r="B143" t="str">
        <f t="shared" si="61"/>
        <v>iBoxx MSCI USD High Yield Paris Aligned Capped TCA Index19</v>
      </c>
      <c r="C143" t="s">
        <v>119</v>
      </c>
      <c r="D143" t="s">
        <v>537</v>
      </c>
      <c r="E143" t="s">
        <v>538</v>
      </c>
      <c r="F143">
        <v>19</v>
      </c>
      <c r="G143" t="s">
        <v>535</v>
      </c>
      <c r="H143" s="26">
        <v>45504</v>
      </c>
      <c r="I143" s="33">
        <v>17394752</v>
      </c>
      <c r="J143" s="33">
        <f t="shared" si="62"/>
        <v>8697376</v>
      </c>
      <c r="K143" s="33">
        <f t="shared" si="65"/>
        <v>9845053.8400773648</v>
      </c>
      <c r="L143" s="33">
        <f t="shared" si="66"/>
        <v>8697376</v>
      </c>
      <c r="M143" s="33">
        <f t="shared" si="67"/>
        <v>8479941.5999999996</v>
      </c>
      <c r="N143" s="33">
        <v>7788784.8542124499</v>
      </c>
      <c r="O143" s="156">
        <v>0.43219870300000002</v>
      </c>
      <c r="P143" s="155" t="s">
        <v>539</v>
      </c>
    </row>
    <row r="144" spans="2:16" ht="15" x14ac:dyDescent="0.35">
      <c r="B144" t="str">
        <f t="shared" si="61"/>
        <v>iBoxx MSCI USD High Yield Paris Aligned Capped TCA Index20</v>
      </c>
      <c r="C144" t="s">
        <v>119</v>
      </c>
      <c r="D144" t="s">
        <v>537</v>
      </c>
      <c r="E144" t="s">
        <v>538</v>
      </c>
      <c r="F144">
        <v>20</v>
      </c>
      <c r="G144" t="s">
        <v>535</v>
      </c>
      <c r="H144" s="26">
        <v>45535</v>
      </c>
      <c r="I144" s="33">
        <v>18282296</v>
      </c>
      <c r="J144" s="33">
        <f t="shared" si="62"/>
        <v>9141148</v>
      </c>
      <c r="K144" s="33">
        <f t="shared" si="65"/>
        <v>9785694.9775479324</v>
      </c>
      <c r="L144" s="33">
        <f t="shared" si="66"/>
        <v>9141148</v>
      </c>
      <c r="M144" s="33">
        <f t="shared" si="67"/>
        <v>8912619.2999999989</v>
      </c>
      <c r="N144" s="33">
        <v>7796894</v>
      </c>
      <c r="O144" s="156">
        <v>0.43445158</v>
      </c>
      <c r="P144" s="155" t="s">
        <v>539</v>
      </c>
    </row>
    <row r="145" spans="2:16" ht="15" x14ac:dyDescent="0.35">
      <c r="B145" t="str">
        <f t="shared" si="61"/>
        <v>iBoxx MSCI USD High Yield Paris Aligned Capped TCA Index21</v>
      </c>
      <c r="C145" t="s">
        <v>119</v>
      </c>
      <c r="D145" t="s">
        <v>537</v>
      </c>
      <c r="E145" t="s">
        <v>538</v>
      </c>
      <c r="F145">
        <v>21</v>
      </c>
      <c r="G145" t="s">
        <v>535</v>
      </c>
      <c r="H145" s="26">
        <v>45565</v>
      </c>
      <c r="I145" s="33">
        <v>17927563.469999999</v>
      </c>
      <c r="J145" s="33">
        <f t="shared" si="62"/>
        <v>8963781.7349999994</v>
      </c>
      <c r="K145" s="33">
        <f t="shared" si="65"/>
        <v>9726694.0078871455</v>
      </c>
      <c r="L145" s="33">
        <f t="shared" si="66"/>
        <v>8963781.7349999994</v>
      </c>
      <c r="M145" s="33">
        <f t="shared" si="67"/>
        <v>8739687.191624999</v>
      </c>
      <c r="N145" s="33">
        <v>7988079.5970000001</v>
      </c>
      <c r="O145" s="156">
        <v>0.43468339099999997</v>
      </c>
      <c r="P145" s="155" t="s">
        <v>539</v>
      </c>
    </row>
    <row r="146" spans="2:16" ht="15" x14ac:dyDescent="0.35">
      <c r="B146" t="str">
        <f t="shared" si="61"/>
        <v>iBoxx MSCI USD High Yield Paris Aligned Capped TCA Index22</v>
      </c>
      <c r="C146" t="s">
        <v>119</v>
      </c>
      <c r="D146" t="s">
        <v>537</v>
      </c>
      <c r="E146" t="s">
        <v>538</v>
      </c>
      <c r="F146">
        <v>22</v>
      </c>
      <c r="G146" t="s">
        <v>535</v>
      </c>
      <c r="H146" s="26">
        <v>45596</v>
      </c>
      <c r="I146" s="33">
        <v>17509843.3213108</v>
      </c>
      <c r="J146" s="33">
        <f t="shared" si="62"/>
        <v>8754921.6606553998</v>
      </c>
      <c r="K146" s="33">
        <f t="shared" si="65"/>
        <v>9668048.7732486445</v>
      </c>
      <c r="L146" s="33">
        <f t="shared" si="66"/>
        <v>8754921.6606553998</v>
      </c>
      <c r="M146" s="33">
        <f t="shared" si="67"/>
        <v>8536048.6191390138</v>
      </c>
      <c r="N146" s="33">
        <v>7823167.7814712198</v>
      </c>
      <c r="O146" s="156">
        <v>0.43188993399999998</v>
      </c>
      <c r="P146" s="155" t="s">
        <v>539</v>
      </c>
    </row>
    <row r="147" spans="2:16" ht="15" x14ac:dyDescent="0.35">
      <c r="B147" t="str">
        <f t="shared" si="61"/>
        <v>iBoxx MSCI USD High Yield Paris Aligned Capped TCA Index23</v>
      </c>
      <c r="C147" t="s">
        <v>119</v>
      </c>
      <c r="D147" t="s">
        <v>537</v>
      </c>
      <c r="E147" t="s">
        <v>538</v>
      </c>
      <c r="F147">
        <v>23</v>
      </c>
      <c r="G147" t="s">
        <v>535</v>
      </c>
      <c r="H147" s="26">
        <v>45626</v>
      </c>
      <c r="I147" s="33">
        <v>16496905</v>
      </c>
      <c r="J147" s="33">
        <f t="shared" si="62"/>
        <v>8248452.5</v>
      </c>
      <c r="K147" s="33">
        <f t="shared" si="65"/>
        <v>9609757.1287963875</v>
      </c>
      <c r="L147" s="33">
        <f t="shared" si="66"/>
        <v>8248452.5</v>
      </c>
      <c r="M147" s="33">
        <f t="shared" si="67"/>
        <v>8042241.1875</v>
      </c>
      <c r="N147" s="33">
        <v>7982947</v>
      </c>
      <c r="O147" s="156">
        <v>0.43522549500000002</v>
      </c>
      <c r="P147" s="155" t="s">
        <v>539</v>
      </c>
    </row>
    <row r="148" spans="2:16" ht="15" x14ac:dyDescent="0.35">
      <c r="B148" t="str">
        <f t="shared" si="61"/>
        <v>iBoxx MSCI USD High Yield Paris Aligned Capped TCA Index24</v>
      </c>
      <c r="C148" t="s">
        <v>119</v>
      </c>
      <c r="D148" t="s">
        <v>537</v>
      </c>
      <c r="E148" t="s">
        <v>538</v>
      </c>
      <c r="F148">
        <v>24</v>
      </c>
      <c r="G148" t="s">
        <v>535</v>
      </c>
      <c r="H148" s="26">
        <v>45657</v>
      </c>
      <c r="I148" s="33"/>
      <c r="J148" s="33">
        <f t="shared" si="62"/>
        <v>0</v>
      </c>
      <c r="K148" s="33">
        <f t="shared" si="65"/>
        <v>9551816.9426262137</v>
      </c>
      <c r="L148" s="33">
        <f t="shared" si="66"/>
        <v>0</v>
      </c>
      <c r="M148" s="33">
        <f t="shared" si="67"/>
        <v>0</v>
      </c>
      <c r="O148" s="40"/>
      <c r="P148" s="155" t="s">
        <v>539</v>
      </c>
    </row>
    <row r="149" spans="2:16" ht="15" x14ac:dyDescent="0.35">
      <c r="B149" t="str">
        <f t="shared" si="61"/>
        <v>iBoxx MSCI USD High Yield Paris Aligned Capped TCA Index25</v>
      </c>
      <c r="C149" t="s">
        <v>119</v>
      </c>
      <c r="D149" t="s">
        <v>537</v>
      </c>
      <c r="E149" t="s">
        <v>538</v>
      </c>
      <c r="F149">
        <v>25</v>
      </c>
      <c r="G149" t="s">
        <v>535</v>
      </c>
      <c r="H149" s="26">
        <v>45688</v>
      </c>
      <c r="I149" s="33"/>
      <c r="J149" s="33">
        <f t="shared" si="62"/>
        <v>0</v>
      </c>
      <c r="K149" s="33">
        <f t="shared" si="65"/>
        <v>9494226.0956878699</v>
      </c>
      <c r="L149" s="33">
        <f t="shared" si="66"/>
        <v>0</v>
      </c>
      <c r="M149" s="33">
        <f t="shared" si="67"/>
        <v>0</v>
      </c>
      <c r="O149" s="40"/>
      <c r="P149" s="155" t="s">
        <v>539</v>
      </c>
    </row>
    <row r="150" spans="2:16" ht="15" x14ac:dyDescent="0.35">
      <c r="B150" t="str">
        <f t="shared" si="61"/>
        <v>iBoxx MSCI USD High Yield Paris Aligned Capped TCA Index26</v>
      </c>
      <c r="C150" t="s">
        <v>119</v>
      </c>
      <c r="D150" t="s">
        <v>537</v>
      </c>
      <c r="E150" t="s">
        <v>538</v>
      </c>
      <c r="F150">
        <v>26</v>
      </c>
      <c r="G150" t="s">
        <v>535</v>
      </c>
      <c r="H150" s="26">
        <v>45716</v>
      </c>
      <c r="I150" s="33"/>
      <c r="J150" s="33">
        <f t="shared" si="62"/>
        <v>0</v>
      </c>
      <c r="K150" s="33">
        <f t="shared" si="65"/>
        <v>9436982.4817075059</v>
      </c>
      <c r="L150" s="33">
        <f t="shared" si="66"/>
        <v>0</v>
      </c>
      <c r="M150" s="33">
        <f t="shared" si="67"/>
        <v>0</v>
      </c>
      <c r="O150" s="40"/>
      <c r="P150" s="155" t="s">
        <v>539</v>
      </c>
    </row>
    <row r="151" spans="2:16" ht="15" x14ac:dyDescent="0.35">
      <c r="B151" t="str">
        <f t="shared" si="61"/>
        <v>iBoxx MSCI USD High Yield Paris Aligned Capped TCA Index27</v>
      </c>
      <c r="C151" t="s">
        <v>119</v>
      </c>
      <c r="D151" t="s">
        <v>537</v>
      </c>
      <c r="E151" t="s">
        <v>538</v>
      </c>
      <c r="F151">
        <v>27</v>
      </c>
      <c r="G151" t="s">
        <v>535</v>
      </c>
      <c r="H151" s="26">
        <v>45747</v>
      </c>
      <c r="I151" s="33"/>
      <c r="J151" s="33">
        <f t="shared" si="62"/>
        <v>0</v>
      </c>
      <c r="K151" s="33">
        <f t="shared" si="65"/>
        <v>9380084.0071106479</v>
      </c>
      <c r="L151" s="33">
        <f t="shared" si="66"/>
        <v>0</v>
      </c>
      <c r="M151" s="33">
        <f t="shared" si="67"/>
        <v>0</v>
      </c>
      <c r="O151" s="40"/>
      <c r="P151" s="155" t="s">
        <v>539</v>
      </c>
    </row>
    <row r="152" spans="2:16" ht="15" x14ac:dyDescent="0.35">
      <c r="B152" t="str">
        <f t="shared" si="61"/>
        <v>iBoxx MSCI USD High Yield Paris Aligned Capped TCA Index28</v>
      </c>
      <c r="C152" t="s">
        <v>119</v>
      </c>
      <c r="D152" t="s">
        <v>537</v>
      </c>
      <c r="E152" t="s">
        <v>538</v>
      </c>
      <c r="F152">
        <v>28</v>
      </c>
      <c r="G152" t="s">
        <v>535</v>
      </c>
      <c r="H152" s="26">
        <v>45777</v>
      </c>
      <c r="I152" s="33"/>
      <c r="J152" s="33">
        <f t="shared" si="62"/>
        <v>0</v>
      </c>
      <c r="K152" s="33">
        <f t="shared" si="65"/>
        <v>9323528.5909456294</v>
      </c>
      <c r="L152" s="33">
        <f t="shared" si="66"/>
        <v>0</v>
      </c>
      <c r="M152" s="33">
        <f t="shared" si="67"/>
        <v>0</v>
      </c>
      <c r="O152" s="40"/>
      <c r="P152" s="155" t="s">
        <v>539</v>
      </c>
    </row>
    <row r="153" spans="2:16" ht="15" x14ac:dyDescent="0.35">
      <c r="B153" t="str">
        <f t="shared" si="61"/>
        <v>iBoxx MSCI USD High Yield Paris Aligned Capped TCA Index29</v>
      </c>
      <c r="C153" t="s">
        <v>119</v>
      </c>
      <c r="D153" t="s">
        <v>537</v>
      </c>
      <c r="E153" t="s">
        <v>538</v>
      </c>
      <c r="F153">
        <v>29</v>
      </c>
      <c r="G153" t="s">
        <v>535</v>
      </c>
      <c r="H153" s="26">
        <v>45808</v>
      </c>
      <c r="I153" s="33"/>
      <c r="J153" s="33">
        <f t="shared" si="62"/>
        <v>0</v>
      </c>
      <c r="K153" s="33">
        <f t="shared" si="65"/>
        <v>9267314.1648074742</v>
      </c>
      <c r="L153" s="33">
        <f t="shared" si="66"/>
        <v>0</v>
      </c>
      <c r="M153" s="33">
        <f t="shared" si="67"/>
        <v>0</v>
      </c>
      <c r="O153" s="40"/>
      <c r="P153" s="155" t="s">
        <v>539</v>
      </c>
    </row>
    <row r="154" spans="2:16" ht="15" x14ac:dyDescent="0.35">
      <c r="B154" t="str">
        <f t="shared" si="61"/>
        <v>iBoxx MSCI USD High Yield Paris Aligned Capped TCA Index30</v>
      </c>
      <c r="C154" t="s">
        <v>119</v>
      </c>
      <c r="D154" t="s">
        <v>537</v>
      </c>
      <c r="E154" t="s">
        <v>538</v>
      </c>
      <c r="F154">
        <v>30</v>
      </c>
      <c r="G154" t="s">
        <v>535</v>
      </c>
      <c r="H154" s="26">
        <v>45838</v>
      </c>
      <c r="I154" s="33"/>
      <c r="J154" s="33">
        <f t="shared" si="62"/>
        <v>0</v>
      </c>
      <c r="K154" s="33">
        <f t="shared" si="65"/>
        <v>9211438.6727622692</v>
      </c>
      <c r="L154" s="33">
        <f t="shared" si="66"/>
        <v>0</v>
      </c>
      <c r="M154" s="33">
        <f t="shared" si="67"/>
        <v>0</v>
      </c>
      <c r="O154" s="40"/>
      <c r="P154" s="155" t="s">
        <v>539</v>
      </c>
    </row>
    <row r="155" spans="2:16" ht="15" x14ac:dyDescent="0.35">
      <c r="B155" t="str">
        <f t="shared" si="61"/>
        <v>iBoxx MSCI USD High Yield Paris Aligned Capped TCA Index31</v>
      </c>
      <c r="C155" t="s">
        <v>119</v>
      </c>
      <c r="D155" t="s">
        <v>537</v>
      </c>
      <c r="E155" t="s">
        <v>538</v>
      </c>
      <c r="F155">
        <v>31</v>
      </c>
      <c r="G155" t="s">
        <v>535</v>
      </c>
      <c r="H155" s="26">
        <v>45869</v>
      </c>
      <c r="I155" s="33"/>
      <c r="J155" s="33">
        <f t="shared" si="62"/>
        <v>0</v>
      </c>
      <c r="K155" s="33">
        <f t="shared" si="65"/>
        <v>9155900.0712719504</v>
      </c>
      <c r="L155" s="33">
        <f t="shared" si="66"/>
        <v>0</v>
      </c>
      <c r="M155" s="33">
        <f t="shared" si="67"/>
        <v>0</v>
      </c>
      <c r="O155" s="40"/>
      <c r="P155" s="155" t="s">
        <v>539</v>
      </c>
    </row>
    <row r="156" spans="2:16" ht="15" x14ac:dyDescent="0.35">
      <c r="B156" t="str">
        <f t="shared" si="61"/>
        <v>iBoxx MSCI USD High Yield Paris Aligned Capped TCA Index32</v>
      </c>
      <c r="C156" t="s">
        <v>119</v>
      </c>
      <c r="D156" t="s">
        <v>537</v>
      </c>
      <c r="E156" t="s">
        <v>538</v>
      </c>
      <c r="F156">
        <v>32</v>
      </c>
      <c r="G156" t="s">
        <v>535</v>
      </c>
      <c r="H156" s="26">
        <v>45900</v>
      </c>
      <c r="I156" s="33"/>
      <c r="J156" s="33">
        <f t="shared" si="62"/>
        <v>0</v>
      </c>
      <c r="K156" s="33">
        <f t="shared" si="65"/>
        <v>9100696.329119578</v>
      </c>
      <c r="L156" s="33">
        <f t="shared" si="66"/>
        <v>0</v>
      </c>
      <c r="M156" s="33">
        <f t="shared" si="67"/>
        <v>0</v>
      </c>
      <c r="O156" s="40"/>
      <c r="P156" s="155" t="s">
        <v>539</v>
      </c>
    </row>
    <row r="157" spans="2:16" ht="15" x14ac:dyDescent="0.35">
      <c r="B157" t="str">
        <f t="shared" si="61"/>
        <v>iBoxx MSCI USD High Yield Paris Aligned Capped TCA Index33</v>
      </c>
      <c r="C157" t="s">
        <v>119</v>
      </c>
      <c r="D157" t="s">
        <v>537</v>
      </c>
      <c r="E157" t="s">
        <v>538</v>
      </c>
      <c r="F157">
        <v>33</v>
      </c>
      <c r="G157" t="s">
        <v>535</v>
      </c>
      <c r="H157" s="26">
        <v>45930</v>
      </c>
      <c r="I157" s="33"/>
      <c r="J157" s="33">
        <f t="shared" si="62"/>
        <v>0</v>
      </c>
      <c r="K157" s="33">
        <f t="shared" si="65"/>
        <v>9045825.4273350462</v>
      </c>
      <c r="L157" s="33">
        <f t="shared" si="66"/>
        <v>0</v>
      </c>
      <c r="M157" s="33">
        <f t="shared" si="67"/>
        <v>0</v>
      </c>
      <c r="O157" s="40"/>
      <c r="P157" s="155" t="s">
        <v>539</v>
      </c>
    </row>
    <row r="158" spans="2:16" ht="15" x14ac:dyDescent="0.35">
      <c r="B158" t="str">
        <f t="shared" si="61"/>
        <v>iBoxx MSCI USD High Yield Paris Aligned Capped TCA Index34</v>
      </c>
      <c r="C158" t="s">
        <v>119</v>
      </c>
      <c r="D158" t="s">
        <v>537</v>
      </c>
      <c r="E158" t="s">
        <v>538</v>
      </c>
      <c r="F158">
        <v>34</v>
      </c>
      <c r="G158" t="s">
        <v>535</v>
      </c>
      <c r="H158" s="26">
        <v>45961</v>
      </c>
      <c r="I158" s="33"/>
      <c r="J158" s="33">
        <f t="shared" si="62"/>
        <v>0</v>
      </c>
      <c r="K158" s="33">
        <f t="shared" si="65"/>
        <v>8991285.3591212388</v>
      </c>
      <c r="L158" s="33">
        <f t="shared" si="66"/>
        <v>0</v>
      </c>
      <c r="M158" s="33">
        <f t="shared" si="67"/>
        <v>0</v>
      </c>
      <c r="O158" s="40"/>
      <c r="P158" s="155" t="s">
        <v>539</v>
      </c>
    </row>
    <row r="159" spans="2:16" ht="15" x14ac:dyDescent="0.35">
      <c r="B159" t="str">
        <f t="shared" si="61"/>
        <v>iBoxx MSCI USD High Yield Paris Aligned Capped TCA Index35</v>
      </c>
      <c r="C159" t="s">
        <v>119</v>
      </c>
      <c r="D159" t="s">
        <v>537</v>
      </c>
      <c r="E159" t="s">
        <v>538</v>
      </c>
      <c r="F159">
        <v>35</v>
      </c>
      <c r="G159" t="s">
        <v>535</v>
      </c>
      <c r="H159" s="26">
        <v>45991</v>
      </c>
      <c r="I159" s="33"/>
      <c r="J159" s="33">
        <f t="shared" si="62"/>
        <v>0</v>
      </c>
      <c r="K159" s="33">
        <f t="shared" si="65"/>
        <v>8937074.1297806408</v>
      </c>
      <c r="L159" s="33">
        <f t="shared" si="66"/>
        <v>0</v>
      </c>
      <c r="M159" s="33">
        <f t="shared" si="67"/>
        <v>0</v>
      </c>
      <c r="O159" s="40"/>
      <c r="P159" s="155" t="s">
        <v>539</v>
      </c>
    </row>
    <row r="160" spans="2:16" ht="15" x14ac:dyDescent="0.35">
      <c r="B160" t="str">
        <f t="shared" si="61"/>
        <v>iBoxx MSCI USD High Yield Paris Aligned Capped TCA Index36</v>
      </c>
      <c r="C160" t="s">
        <v>119</v>
      </c>
      <c r="D160" t="s">
        <v>537</v>
      </c>
      <c r="E160" t="s">
        <v>538</v>
      </c>
      <c r="F160">
        <v>36</v>
      </c>
      <c r="G160" t="s">
        <v>535</v>
      </c>
      <c r="H160" s="26">
        <v>46022</v>
      </c>
      <c r="I160" s="33"/>
      <c r="J160" s="33">
        <f t="shared" si="62"/>
        <v>0</v>
      </c>
      <c r="K160" s="33">
        <f t="shared" si="65"/>
        <v>8883189.7566423789</v>
      </c>
      <c r="L160" s="33">
        <f t="shared" si="66"/>
        <v>0</v>
      </c>
      <c r="M160" s="33">
        <f t="shared" si="67"/>
        <v>0</v>
      </c>
      <c r="O160" s="40"/>
      <c r="P160" s="155" t="s">
        <v>539</v>
      </c>
    </row>
    <row r="161" spans="2:16" ht="15" x14ac:dyDescent="0.35">
      <c r="B161" t="str">
        <f t="shared" si="61"/>
        <v>iBoxx MSCI USD High Yield Paris Aligned Capped TCA Index37</v>
      </c>
      <c r="C161" t="s">
        <v>119</v>
      </c>
      <c r="D161" t="s">
        <v>537</v>
      </c>
      <c r="E161" t="s">
        <v>538</v>
      </c>
      <c r="F161">
        <v>37</v>
      </c>
      <c r="G161" t="s">
        <v>535</v>
      </c>
      <c r="H161" s="26">
        <v>46053</v>
      </c>
      <c r="I161" s="33"/>
      <c r="J161" s="33">
        <f t="shared" si="62"/>
        <v>0</v>
      </c>
      <c r="K161" s="33">
        <f t="shared" si="65"/>
        <v>8829630.2689897195</v>
      </c>
      <c r="L161" s="33">
        <f t="shared" si="66"/>
        <v>0</v>
      </c>
      <c r="M161" s="33">
        <f t="shared" si="67"/>
        <v>0</v>
      </c>
      <c r="N161" s="33"/>
      <c r="O161" s="40"/>
      <c r="P161" s="155" t="s">
        <v>539</v>
      </c>
    </row>
    <row r="162" spans="2:16" ht="15" x14ac:dyDescent="0.35">
      <c r="B162" t="str">
        <f t="shared" si="61"/>
        <v>iBoxx MSCI USD High Yield Paris Aligned Capped TCA Index38</v>
      </c>
      <c r="C162" t="s">
        <v>119</v>
      </c>
      <c r="D162" t="s">
        <v>537</v>
      </c>
      <c r="E162" t="s">
        <v>538</v>
      </c>
      <c r="F162">
        <v>38</v>
      </c>
      <c r="G162" t="s">
        <v>535</v>
      </c>
      <c r="H162" s="26">
        <v>46081</v>
      </c>
      <c r="I162" s="33"/>
      <c r="J162" s="33">
        <f t="shared" si="62"/>
        <v>0</v>
      </c>
      <c r="K162" s="33">
        <f t="shared" si="65"/>
        <v>8776393.7079879809</v>
      </c>
      <c r="L162" s="33">
        <f t="shared" si="66"/>
        <v>0</v>
      </c>
      <c r="M162" s="33">
        <f t="shared" si="67"/>
        <v>0</v>
      </c>
      <c r="N162" s="33"/>
      <c r="O162" s="40"/>
      <c r="P162" s="155" t="s">
        <v>539</v>
      </c>
    </row>
    <row r="163" spans="2:16" ht="15" x14ac:dyDescent="0.35">
      <c r="B163" t="str">
        <f t="shared" si="61"/>
        <v>iBoxx MSCI USD High Yield Paris Aligned Capped TCA Index39</v>
      </c>
      <c r="C163" t="s">
        <v>119</v>
      </c>
      <c r="D163" t="s">
        <v>537</v>
      </c>
      <c r="E163" t="s">
        <v>538</v>
      </c>
      <c r="F163">
        <v>39</v>
      </c>
      <c r="G163" t="s">
        <v>535</v>
      </c>
      <c r="H163" s="26">
        <v>46112</v>
      </c>
      <c r="I163" s="33"/>
      <c r="J163" s="33">
        <f t="shared" si="62"/>
        <v>0</v>
      </c>
      <c r="K163" s="33">
        <f t="shared" si="65"/>
        <v>8723478.1266129036</v>
      </c>
      <c r="L163" s="33">
        <f t="shared" si="66"/>
        <v>0</v>
      </c>
      <c r="M163" s="33">
        <f t="shared" si="67"/>
        <v>0</v>
      </c>
      <c r="N163" s="33"/>
      <c r="O163" s="40"/>
      <c r="P163" s="155" t="s">
        <v>539</v>
      </c>
    </row>
    <row r="164" spans="2:16" ht="15" x14ac:dyDescent="0.35">
      <c r="B164" t="str">
        <f t="shared" si="61"/>
        <v>iBoxx MSCI USD High Yield Paris Aligned Capped TCA Index40</v>
      </c>
      <c r="C164" t="s">
        <v>119</v>
      </c>
      <c r="D164" t="s">
        <v>537</v>
      </c>
      <c r="E164" t="s">
        <v>538</v>
      </c>
      <c r="F164">
        <v>40</v>
      </c>
      <c r="G164" t="s">
        <v>535</v>
      </c>
      <c r="H164" s="26">
        <v>46142</v>
      </c>
      <c r="I164" s="33"/>
      <c r="J164" s="33">
        <f t="shared" si="62"/>
        <v>0</v>
      </c>
      <c r="K164" s="33">
        <f t="shared" si="65"/>
        <v>8670881.5895794351</v>
      </c>
      <c r="L164" s="33">
        <f t="shared" si="66"/>
        <v>0</v>
      </c>
      <c r="M164" s="33">
        <f t="shared" si="67"/>
        <v>0</v>
      </c>
      <c r="N164" s="33"/>
      <c r="O164" s="40"/>
      <c r="P164" s="155" t="s">
        <v>539</v>
      </c>
    </row>
    <row r="165" spans="2:16" ht="15" x14ac:dyDescent="0.35">
      <c r="B165" t="str">
        <f t="shared" si="61"/>
        <v>iBoxx MSCI USD High Yield Paris Aligned Capped TCA Index41</v>
      </c>
      <c r="C165" t="s">
        <v>119</v>
      </c>
      <c r="D165" t="s">
        <v>537</v>
      </c>
      <c r="E165" t="s">
        <v>538</v>
      </c>
      <c r="F165">
        <v>41</v>
      </c>
      <c r="G165" t="s">
        <v>535</v>
      </c>
      <c r="H165" s="26">
        <v>46173</v>
      </c>
      <c r="I165" s="33"/>
      <c r="J165" s="33">
        <f t="shared" si="62"/>
        <v>0</v>
      </c>
      <c r="K165" s="33">
        <f t="shared" si="65"/>
        <v>8618602.173270952</v>
      </c>
      <c r="L165" s="33">
        <f t="shared" si="66"/>
        <v>0</v>
      </c>
      <c r="M165" s="33">
        <f t="shared" si="67"/>
        <v>0</v>
      </c>
      <c r="N165" s="33"/>
      <c r="O165" s="40"/>
      <c r="P165" s="155" t="s">
        <v>539</v>
      </c>
    </row>
    <row r="166" spans="2:16" ht="15" x14ac:dyDescent="0.35">
      <c r="B166" t="str">
        <f t="shared" si="61"/>
        <v>iBoxx MSCI USD High Yield Paris Aligned Capped TCA Index42</v>
      </c>
      <c r="C166" t="s">
        <v>119</v>
      </c>
      <c r="D166" t="s">
        <v>537</v>
      </c>
      <c r="E166" t="s">
        <v>538</v>
      </c>
      <c r="F166">
        <v>42</v>
      </c>
      <c r="G166" t="s">
        <v>535</v>
      </c>
      <c r="H166" s="26">
        <v>46203</v>
      </c>
      <c r="I166" s="33"/>
      <c r="J166" s="33">
        <f t="shared" si="62"/>
        <v>0</v>
      </c>
      <c r="K166" s="33">
        <f t="shared" si="65"/>
        <v>8566637.9656689111</v>
      </c>
      <c r="L166" s="33">
        <f t="shared" si="66"/>
        <v>0</v>
      </c>
      <c r="M166" s="33">
        <f t="shared" si="67"/>
        <v>0</v>
      </c>
      <c r="N166" s="33"/>
      <c r="O166" s="40"/>
      <c r="P166" s="155" t="s">
        <v>539</v>
      </c>
    </row>
    <row r="167" spans="2:16" ht="15" x14ac:dyDescent="0.35">
      <c r="B167" t="str">
        <f t="shared" si="61"/>
        <v>iBoxx MSCI USD High Yield Paris Aligned Capped TCA Index43</v>
      </c>
      <c r="C167" t="s">
        <v>119</v>
      </c>
      <c r="D167" t="s">
        <v>537</v>
      </c>
      <c r="E167" t="s">
        <v>538</v>
      </c>
      <c r="F167">
        <v>43</v>
      </c>
      <c r="G167" t="s">
        <v>535</v>
      </c>
      <c r="H167" s="26">
        <v>46234</v>
      </c>
      <c r="I167" s="33"/>
      <c r="J167" s="33">
        <f t="shared" si="62"/>
        <v>0</v>
      </c>
      <c r="K167" s="33">
        <f t="shared" si="65"/>
        <v>8514987.0662829131</v>
      </c>
      <c r="L167" s="33">
        <f t="shared" si="66"/>
        <v>0</v>
      </c>
      <c r="M167" s="33">
        <f t="shared" si="67"/>
        <v>0</v>
      </c>
      <c r="N167" s="33"/>
      <c r="O167" s="40"/>
      <c r="P167" s="155" t="s">
        <v>539</v>
      </c>
    </row>
    <row r="168" spans="2:16" ht="15" x14ac:dyDescent="0.35">
      <c r="B168" t="str">
        <f t="shared" si="61"/>
        <v>iBoxx MSCI USD High Yield Paris Aligned Capped TCA Index44</v>
      </c>
      <c r="C168" t="s">
        <v>119</v>
      </c>
      <c r="D168" t="s">
        <v>537</v>
      </c>
      <c r="E168" t="s">
        <v>538</v>
      </c>
      <c r="F168">
        <v>44</v>
      </c>
      <c r="G168" t="s">
        <v>535</v>
      </c>
      <c r="H168" s="26">
        <v>46265</v>
      </c>
      <c r="I168" s="33"/>
      <c r="J168" s="33">
        <f t="shared" si="62"/>
        <v>0</v>
      </c>
      <c r="K168" s="33">
        <f t="shared" si="65"/>
        <v>8463647.5860812087</v>
      </c>
      <c r="L168" s="33">
        <f t="shared" si="66"/>
        <v>0</v>
      </c>
      <c r="M168" s="33">
        <f t="shared" si="67"/>
        <v>0</v>
      </c>
      <c r="N168" s="33"/>
      <c r="O168" s="40"/>
      <c r="P168" s="155" t="s">
        <v>539</v>
      </c>
    </row>
    <row r="169" spans="2:16" ht="15" x14ac:dyDescent="0.35">
      <c r="B169" t="str">
        <f t="shared" si="61"/>
        <v>iBoxx MSCI USD High Yield Paris Aligned Capped TCA Index45</v>
      </c>
      <c r="C169" t="s">
        <v>119</v>
      </c>
      <c r="D169" t="s">
        <v>537</v>
      </c>
      <c r="E169" t="s">
        <v>538</v>
      </c>
      <c r="F169">
        <v>45</v>
      </c>
      <c r="G169" t="s">
        <v>535</v>
      </c>
      <c r="H169" s="26">
        <v>46295</v>
      </c>
      <c r="I169" s="33"/>
      <c r="J169" s="33">
        <f t="shared" si="62"/>
        <v>0</v>
      </c>
      <c r="K169" s="33">
        <f t="shared" si="65"/>
        <v>8412617.6474215928</v>
      </c>
      <c r="L169" s="33">
        <f t="shared" si="66"/>
        <v>0</v>
      </c>
      <c r="M169" s="33">
        <f t="shared" si="67"/>
        <v>0</v>
      </c>
      <c r="N169" s="33"/>
      <c r="O169" s="40"/>
      <c r="P169" s="155" t="s">
        <v>539</v>
      </c>
    </row>
    <row r="170" spans="2:16" ht="15" x14ac:dyDescent="0.35">
      <c r="B170" t="str">
        <f t="shared" si="61"/>
        <v>iBoxx MSCI USD High Yield Paris Aligned Capped TCA Index46</v>
      </c>
      <c r="C170" t="s">
        <v>119</v>
      </c>
      <c r="D170" t="s">
        <v>537</v>
      </c>
      <c r="E170" t="s">
        <v>538</v>
      </c>
      <c r="F170">
        <v>46</v>
      </c>
      <c r="G170" t="s">
        <v>535</v>
      </c>
      <c r="H170" s="26">
        <v>46326</v>
      </c>
      <c r="I170" s="33"/>
      <c r="J170" s="33">
        <f t="shared" si="62"/>
        <v>0</v>
      </c>
      <c r="K170" s="33">
        <f t="shared" si="65"/>
        <v>8361895.3839827524</v>
      </c>
      <c r="L170" s="33">
        <f t="shared" si="66"/>
        <v>0</v>
      </c>
      <c r="M170" s="33">
        <f t="shared" si="67"/>
        <v>0</v>
      </c>
      <c r="N170" s="33"/>
      <c r="O170" s="40"/>
      <c r="P170" s="155" t="s">
        <v>539</v>
      </c>
    </row>
    <row r="171" spans="2:16" ht="15" x14ac:dyDescent="0.35">
      <c r="B171" t="str">
        <f t="shared" si="61"/>
        <v>iBoxx MSCI USD High Yield Paris Aligned Capped TCA Index47</v>
      </c>
      <c r="C171" t="s">
        <v>119</v>
      </c>
      <c r="D171" t="s">
        <v>537</v>
      </c>
      <c r="E171" t="s">
        <v>538</v>
      </c>
      <c r="F171">
        <v>47</v>
      </c>
      <c r="G171" t="s">
        <v>535</v>
      </c>
      <c r="H171" s="26">
        <v>46356</v>
      </c>
      <c r="I171" s="33"/>
      <c r="J171" s="33">
        <f t="shared" si="62"/>
        <v>0</v>
      </c>
      <c r="K171" s="33">
        <f t="shared" si="65"/>
        <v>8311478.9406959955</v>
      </c>
      <c r="L171" s="33">
        <f t="shared" si="66"/>
        <v>0</v>
      </c>
      <c r="M171" s="33">
        <f t="shared" si="67"/>
        <v>0</v>
      </c>
      <c r="N171" s="33"/>
      <c r="O171" s="40"/>
      <c r="P171" s="155" t="s">
        <v>539</v>
      </c>
    </row>
    <row r="172" spans="2:16" ht="15" x14ac:dyDescent="0.35">
      <c r="B172" t="str">
        <f t="shared" si="61"/>
        <v>iBoxx MSCI USD High Yield Paris Aligned Capped TCA Index48</v>
      </c>
      <c r="C172" t="s">
        <v>119</v>
      </c>
      <c r="D172" t="s">
        <v>537</v>
      </c>
      <c r="E172" t="s">
        <v>538</v>
      </c>
      <c r="F172">
        <v>48</v>
      </c>
      <c r="G172" t="s">
        <v>535</v>
      </c>
      <c r="H172" s="26">
        <v>46387</v>
      </c>
      <c r="I172" s="33"/>
      <c r="J172" s="33">
        <f t="shared" si="62"/>
        <v>0</v>
      </c>
      <c r="K172" s="33">
        <f t="shared" si="65"/>
        <v>8261366.4736774135</v>
      </c>
      <c r="L172" s="33">
        <f t="shared" si="66"/>
        <v>0</v>
      </c>
      <c r="M172" s="33">
        <f t="shared" si="67"/>
        <v>0</v>
      </c>
      <c r="N172" s="33"/>
      <c r="O172" s="40"/>
      <c r="P172" s="155" t="s">
        <v>539</v>
      </c>
    </row>
    <row r="173" spans="2:16" ht="15" x14ac:dyDescent="0.35">
      <c r="B173" t="str">
        <f t="shared" si="61"/>
        <v>iBoxx MSCI USD High Yield Paris Aligned Capped TCA Index49</v>
      </c>
      <c r="C173" t="s">
        <v>119</v>
      </c>
      <c r="D173" t="s">
        <v>537</v>
      </c>
      <c r="E173" t="s">
        <v>538</v>
      </c>
      <c r="F173">
        <v>49</v>
      </c>
      <c r="G173" t="s">
        <v>535</v>
      </c>
      <c r="H173" s="26">
        <v>46418</v>
      </c>
      <c r="I173" s="33"/>
      <c r="J173" s="33">
        <f t="shared" si="62"/>
        <v>0</v>
      </c>
      <c r="K173" s="33">
        <f t="shared" si="65"/>
        <v>8211556.1501604402</v>
      </c>
      <c r="L173" s="33">
        <f t="shared" si="66"/>
        <v>0</v>
      </c>
      <c r="M173" s="33">
        <f t="shared" si="67"/>
        <v>0</v>
      </c>
      <c r="N173" s="33"/>
      <c r="O173" s="40"/>
      <c r="P173" s="155" t="s">
        <v>539</v>
      </c>
    </row>
    <row r="174" spans="2:16" ht="15" x14ac:dyDescent="0.35">
      <c r="B174" t="str">
        <f t="shared" si="61"/>
        <v>iBoxx MSCI USD High Yield Paris Aligned Capped TCA Index50</v>
      </c>
      <c r="C174" t="s">
        <v>119</v>
      </c>
      <c r="D174" t="s">
        <v>537</v>
      </c>
      <c r="E174" t="s">
        <v>538</v>
      </c>
      <c r="F174">
        <v>50</v>
      </c>
      <c r="G174" t="s">
        <v>535</v>
      </c>
      <c r="H174" s="26">
        <v>46446</v>
      </c>
      <c r="I174" s="33"/>
      <c r="J174" s="33">
        <f t="shared" si="62"/>
        <v>0</v>
      </c>
      <c r="K174" s="33">
        <f t="shared" si="65"/>
        <v>8162046.1484288229</v>
      </c>
      <c r="L174" s="33">
        <f t="shared" si="66"/>
        <v>0</v>
      </c>
      <c r="M174" s="33">
        <f t="shared" si="67"/>
        <v>0</v>
      </c>
      <c r="N174" s="33"/>
      <c r="O174" s="40"/>
      <c r="P174" s="155" t="s">
        <v>539</v>
      </c>
    </row>
    <row r="175" spans="2:16" ht="15" x14ac:dyDescent="0.35">
      <c r="B175" t="str">
        <f t="shared" si="61"/>
        <v>iBoxx MSCI USD High Yield Paris Aligned Capped TCA Index51</v>
      </c>
      <c r="C175" t="s">
        <v>119</v>
      </c>
      <c r="D175" t="s">
        <v>537</v>
      </c>
      <c r="E175" t="s">
        <v>538</v>
      </c>
      <c r="F175">
        <v>51</v>
      </c>
      <c r="G175" t="s">
        <v>535</v>
      </c>
      <c r="H175" s="26">
        <v>46477</v>
      </c>
      <c r="I175" s="33"/>
      <c r="J175" s="33">
        <f t="shared" si="62"/>
        <v>0</v>
      </c>
      <c r="K175" s="33">
        <f t="shared" si="65"/>
        <v>8112834.6577500012</v>
      </c>
      <c r="L175" s="33">
        <f t="shared" si="66"/>
        <v>0</v>
      </c>
      <c r="M175" s="33">
        <f t="shared" si="67"/>
        <v>0</v>
      </c>
      <c r="N175" s="33"/>
      <c r="O175" s="40"/>
      <c r="P175" s="155" t="s">
        <v>539</v>
      </c>
    </row>
    <row r="176" spans="2:16" ht="15" x14ac:dyDescent="0.35">
      <c r="B176" t="str">
        <f t="shared" si="61"/>
        <v>iBoxx MSCI USD High Yield Paris Aligned Capped TCA Index52</v>
      </c>
      <c r="C176" t="s">
        <v>119</v>
      </c>
      <c r="D176" t="s">
        <v>537</v>
      </c>
      <c r="E176" t="s">
        <v>538</v>
      </c>
      <c r="F176">
        <v>52</v>
      </c>
      <c r="G176" t="s">
        <v>535</v>
      </c>
      <c r="H176" s="26">
        <v>46507</v>
      </c>
      <c r="I176" s="33"/>
      <c r="J176" s="33">
        <f t="shared" si="62"/>
        <v>0</v>
      </c>
      <c r="K176" s="33">
        <f t="shared" si="65"/>
        <v>8063919.8783088755</v>
      </c>
      <c r="L176" s="33">
        <f t="shared" si="66"/>
        <v>0</v>
      </c>
      <c r="M176" s="33">
        <f t="shared" si="67"/>
        <v>0</v>
      </c>
      <c r="N176" s="33"/>
      <c r="O176" s="40"/>
      <c r="P176" s="155" t="s">
        <v>539</v>
      </c>
    </row>
    <row r="177" spans="2:16" ht="15" x14ac:dyDescent="0.35">
      <c r="B177" t="str">
        <f t="shared" si="61"/>
        <v>iBoxx MSCI USD High Yield Paris Aligned Capped TCA Index53</v>
      </c>
      <c r="C177" t="s">
        <v>119</v>
      </c>
      <c r="D177" t="s">
        <v>537</v>
      </c>
      <c r="E177" t="s">
        <v>538</v>
      </c>
      <c r="F177">
        <v>53</v>
      </c>
      <c r="G177" t="s">
        <v>535</v>
      </c>
      <c r="H177" s="26">
        <v>46538</v>
      </c>
      <c r="I177" s="33"/>
      <c r="J177" s="33">
        <f t="shared" si="62"/>
        <v>0</v>
      </c>
      <c r="K177" s="33">
        <f t="shared" si="65"/>
        <v>8015300.0211419864</v>
      </c>
      <c r="L177" s="33">
        <f t="shared" si="66"/>
        <v>0</v>
      </c>
      <c r="M177" s="33">
        <f t="shared" si="67"/>
        <v>0</v>
      </c>
      <c r="N177" s="33"/>
      <c r="O177" s="40"/>
      <c r="P177" s="155" t="s">
        <v>539</v>
      </c>
    </row>
    <row r="178" spans="2:16" ht="15" x14ac:dyDescent="0.35">
      <c r="B178" t="str">
        <f t="shared" si="61"/>
        <v>iBoxx MSCI USD High Yield Paris Aligned Capped TCA Index54</v>
      </c>
      <c r="C178" t="s">
        <v>119</v>
      </c>
      <c r="D178" t="s">
        <v>537</v>
      </c>
      <c r="E178" t="s">
        <v>538</v>
      </c>
      <c r="F178">
        <v>54</v>
      </c>
      <c r="G178" t="s">
        <v>535</v>
      </c>
      <c r="H178" s="26">
        <v>46568</v>
      </c>
      <c r="I178" s="33"/>
      <c r="J178" s="33">
        <f t="shared" si="62"/>
        <v>0</v>
      </c>
      <c r="K178" s="33">
        <f t="shared" si="65"/>
        <v>7966973.3080720874</v>
      </c>
      <c r="L178" s="33">
        <f t="shared" si="66"/>
        <v>0</v>
      </c>
      <c r="M178" s="33">
        <f t="shared" si="67"/>
        <v>0</v>
      </c>
      <c r="N178" s="33"/>
      <c r="O178" s="40"/>
      <c r="P178" s="155" t="s">
        <v>539</v>
      </c>
    </row>
    <row r="179" spans="2:16" ht="15" x14ac:dyDescent="0.35">
      <c r="B179" t="str">
        <f t="shared" si="61"/>
        <v>iBoxx MSCI USD High Yield Paris Aligned Capped TCA Index55</v>
      </c>
      <c r="C179" t="s">
        <v>119</v>
      </c>
      <c r="D179" t="s">
        <v>537</v>
      </c>
      <c r="E179" t="s">
        <v>538</v>
      </c>
      <c r="F179">
        <v>55</v>
      </c>
      <c r="G179" t="s">
        <v>535</v>
      </c>
      <c r="H179" s="26">
        <v>46599</v>
      </c>
      <c r="I179" s="33"/>
      <c r="J179" s="33">
        <f t="shared" si="62"/>
        <v>0</v>
      </c>
      <c r="K179" s="33">
        <f t="shared" si="65"/>
        <v>7918937.9716431107</v>
      </c>
      <c r="L179" s="33">
        <f t="shared" si="66"/>
        <v>0</v>
      </c>
      <c r="M179" s="33">
        <f t="shared" si="67"/>
        <v>0</v>
      </c>
      <c r="N179" s="33"/>
      <c r="O179" s="40"/>
      <c r="P179" s="155" t="s">
        <v>539</v>
      </c>
    </row>
    <row r="180" spans="2:16" ht="15" x14ac:dyDescent="0.35">
      <c r="B180" t="str">
        <f t="shared" si="61"/>
        <v>iBoxx MSCI USD High Yield Paris Aligned Capped TCA Index56</v>
      </c>
      <c r="C180" t="s">
        <v>119</v>
      </c>
      <c r="D180" t="s">
        <v>537</v>
      </c>
      <c r="E180" t="s">
        <v>538</v>
      </c>
      <c r="F180">
        <v>56</v>
      </c>
      <c r="G180" t="s">
        <v>535</v>
      </c>
      <c r="H180" s="26">
        <v>46630</v>
      </c>
      <c r="I180" s="33"/>
      <c r="J180" s="33">
        <f t="shared" si="62"/>
        <v>0</v>
      </c>
      <c r="K180" s="33">
        <f t="shared" si="65"/>
        <v>7871192.2550555244</v>
      </c>
      <c r="L180" s="33">
        <f t="shared" si="66"/>
        <v>0</v>
      </c>
      <c r="M180" s="33">
        <f t="shared" si="67"/>
        <v>0</v>
      </c>
      <c r="N180" s="33"/>
      <c r="O180" s="40"/>
      <c r="P180" s="155" t="s">
        <v>539</v>
      </c>
    </row>
    <row r="181" spans="2:16" ht="15" x14ac:dyDescent="0.35">
      <c r="B181" t="str">
        <f t="shared" si="61"/>
        <v>iBoxx MSCI USD High Yield Paris Aligned Capped TCA Index57</v>
      </c>
      <c r="C181" t="s">
        <v>119</v>
      </c>
      <c r="D181" t="s">
        <v>537</v>
      </c>
      <c r="E181" t="s">
        <v>538</v>
      </c>
      <c r="F181">
        <v>57</v>
      </c>
      <c r="G181" t="s">
        <v>535</v>
      </c>
      <c r="H181" s="26">
        <v>46660</v>
      </c>
      <c r="I181" s="33"/>
      <c r="J181" s="33">
        <f t="shared" si="62"/>
        <v>0</v>
      </c>
      <c r="K181" s="33">
        <f t="shared" si="65"/>
        <v>7823734.4121020827</v>
      </c>
      <c r="L181" s="33">
        <f t="shared" si="66"/>
        <v>0</v>
      </c>
      <c r="M181" s="33">
        <f t="shared" si="67"/>
        <v>0</v>
      </c>
      <c r="N181" s="33"/>
      <c r="O181" s="40"/>
      <c r="P181" s="155" t="s">
        <v>539</v>
      </c>
    </row>
    <row r="182" spans="2:16" ht="15" x14ac:dyDescent="0.35">
      <c r="B182" t="str">
        <f t="shared" si="61"/>
        <v>iBoxx MSCI USD High Yield Paris Aligned Capped TCA Index58</v>
      </c>
      <c r="C182" t="s">
        <v>119</v>
      </c>
      <c r="D182" t="s">
        <v>537</v>
      </c>
      <c r="E182" t="s">
        <v>538</v>
      </c>
      <c r="F182">
        <v>58</v>
      </c>
      <c r="G182" t="s">
        <v>535</v>
      </c>
      <c r="H182" s="26">
        <v>46691</v>
      </c>
      <c r="I182" s="33"/>
      <c r="J182" s="33">
        <f t="shared" si="62"/>
        <v>0</v>
      </c>
      <c r="K182" s="33">
        <f t="shared" si="65"/>
        <v>7776562.7071039602</v>
      </c>
      <c r="L182" s="33">
        <f t="shared" si="66"/>
        <v>0</v>
      </c>
      <c r="M182" s="33">
        <f t="shared" si="67"/>
        <v>0</v>
      </c>
      <c r="N182" s="33"/>
      <c r="O182" s="40"/>
      <c r="P182" s="155" t="s">
        <v>539</v>
      </c>
    </row>
    <row r="183" spans="2:16" ht="15" x14ac:dyDescent="0.35">
      <c r="B183" t="str">
        <f t="shared" si="61"/>
        <v>iBoxx MSCI USD High Yield Paris Aligned Capped TCA Index59</v>
      </c>
      <c r="C183" t="s">
        <v>119</v>
      </c>
      <c r="D183" t="s">
        <v>537</v>
      </c>
      <c r="E183" t="s">
        <v>538</v>
      </c>
      <c r="F183">
        <v>59</v>
      </c>
      <c r="G183" t="s">
        <v>535</v>
      </c>
      <c r="H183" s="26">
        <v>46721</v>
      </c>
      <c r="I183" s="33"/>
      <c r="J183" s="33">
        <f t="shared" si="62"/>
        <v>0</v>
      </c>
      <c r="K183" s="33">
        <f t="shared" si="65"/>
        <v>7729675.4148472762</v>
      </c>
      <c r="L183" s="33">
        <f t="shared" si="66"/>
        <v>0</v>
      </c>
      <c r="M183" s="33">
        <f t="shared" si="67"/>
        <v>0</v>
      </c>
      <c r="N183" s="33"/>
      <c r="O183" s="40"/>
      <c r="P183" s="155" t="s">
        <v>539</v>
      </c>
    </row>
    <row r="184" spans="2:16" ht="15" x14ac:dyDescent="0.35">
      <c r="B184" t="str">
        <f t="shared" si="61"/>
        <v>iBoxx MSCI USD High Yield Paris Aligned Capped TCA Index60</v>
      </c>
      <c r="C184" t="s">
        <v>119</v>
      </c>
      <c r="D184" t="s">
        <v>537</v>
      </c>
      <c r="E184" t="s">
        <v>538</v>
      </c>
      <c r="F184">
        <v>60</v>
      </c>
      <c r="G184" t="s">
        <v>535</v>
      </c>
      <c r="H184" s="26">
        <v>46752</v>
      </c>
      <c r="I184" s="33"/>
      <c r="J184" s="33">
        <f t="shared" si="62"/>
        <v>0</v>
      </c>
      <c r="K184" s="33">
        <f t="shared" si="65"/>
        <v>7683070.8205199949</v>
      </c>
      <c r="L184" s="33">
        <f t="shared" si="66"/>
        <v>0</v>
      </c>
      <c r="M184" s="33">
        <f t="shared" si="67"/>
        <v>0</v>
      </c>
      <c r="N184" s="33"/>
      <c r="O184" s="40"/>
      <c r="P184" s="155" t="s">
        <v>539</v>
      </c>
    </row>
    <row r="185" spans="2:16" ht="15" x14ac:dyDescent="0.35">
      <c r="B185" t="str">
        <f t="shared" si="61"/>
        <v>iBoxx MSCI USD High Yield Paris Aligned Capped TCA Index61</v>
      </c>
      <c r="C185" t="s">
        <v>119</v>
      </c>
      <c r="D185" t="s">
        <v>537</v>
      </c>
      <c r="E185" t="s">
        <v>538</v>
      </c>
      <c r="F185">
        <v>61</v>
      </c>
      <c r="G185" t="s">
        <v>535</v>
      </c>
      <c r="H185" s="26">
        <v>46783</v>
      </c>
      <c r="I185" s="33"/>
      <c r="J185" s="33">
        <f t="shared" si="62"/>
        <v>0</v>
      </c>
      <c r="K185" s="33">
        <f t="shared" si="65"/>
        <v>7636747.2196492096</v>
      </c>
      <c r="L185" s="33">
        <f t="shared" si="66"/>
        <v>0</v>
      </c>
      <c r="M185" s="33">
        <f t="shared" si="67"/>
        <v>0</v>
      </c>
      <c r="N185" s="33"/>
      <c r="O185" s="40"/>
      <c r="P185" s="155" t="s">
        <v>539</v>
      </c>
    </row>
    <row r="186" spans="2:16" ht="15" x14ac:dyDescent="0.35">
      <c r="B186" t="str">
        <f t="shared" si="61"/>
        <v>iBoxx MSCI USD High Yield Paris Aligned Capped TCA Index62</v>
      </c>
      <c r="C186" t="s">
        <v>119</v>
      </c>
      <c r="D186" t="s">
        <v>537</v>
      </c>
      <c r="E186" t="s">
        <v>538</v>
      </c>
      <c r="F186">
        <v>62</v>
      </c>
      <c r="G186" t="s">
        <v>535</v>
      </c>
      <c r="H186" s="26">
        <v>46811</v>
      </c>
      <c r="I186" s="33"/>
      <c r="J186" s="33">
        <f t="shared" si="62"/>
        <v>0</v>
      </c>
      <c r="K186" s="33">
        <f t="shared" si="65"/>
        <v>7590702.9180388059</v>
      </c>
      <c r="L186" s="33">
        <f t="shared" si="66"/>
        <v>0</v>
      </c>
      <c r="M186" s="33">
        <f t="shared" si="67"/>
        <v>0</v>
      </c>
      <c r="N186" s="33"/>
      <c r="O186" s="40"/>
      <c r="P186" s="155" t="s">
        <v>539</v>
      </c>
    </row>
    <row r="187" spans="2:16" ht="15" x14ac:dyDescent="0.35">
      <c r="B187" t="str">
        <f t="shared" si="61"/>
        <v>iBoxx MSCI USD High Yield Paris Aligned Capped TCA Index63</v>
      </c>
      <c r="C187" t="s">
        <v>119</v>
      </c>
      <c r="D187" t="s">
        <v>537</v>
      </c>
      <c r="E187" t="s">
        <v>538</v>
      </c>
      <c r="F187">
        <v>63</v>
      </c>
      <c r="G187" t="s">
        <v>535</v>
      </c>
      <c r="H187" s="26">
        <v>46843</v>
      </c>
      <c r="I187" s="33"/>
      <c r="J187" s="33">
        <f t="shared" si="62"/>
        <v>0</v>
      </c>
      <c r="K187" s="33">
        <f t="shared" si="65"/>
        <v>7544936.2317075012</v>
      </c>
      <c r="L187" s="33">
        <f t="shared" si="66"/>
        <v>0</v>
      </c>
      <c r="M187" s="33">
        <f t="shared" si="67"/>
        <v>0</v>
      </c>
      <c r="N187" s="33"/>
      <c r="O187" s="40"/>
      <c r="P187" s="155" t="s">
        <v>539</v>
      </c>
    </row>
    <row r="188" spans="2:16" ht="15" x14ac:dyDescent="0.35">
      <c r="B188" t="str">
        <f t="shared" si="61"/>
        <v>iBoxx MSCI USD High Yield Paris Aligned Capped TCA Index64</v>
      </c>
      <c r="C188" t="s">
        <v>119</v>
      </c>
      <c r="D188" t="s">
        <v>537</v>
      </c>
      <c r="E188" t="s">
        <v>538</v>
      </c>
      <c r="F188">
        <v>64</v>
      </c>
      <c r="G188" t="s">
        <v>535</v>
      </c>
      <c r="H188" s="26">
        <v>46873</v>
      </c>
      <c r="I188" s="33"/>
      <c r="J188" s="33">
        <f t="shared" si="62"/>
        <v>0</v>
      </c>
      <c r="K188" s="33">
        <f t="shared" si="65"/>
        <v>7499445.4868272543</v>
      </c>
      <c r="L188" s="33">
        <f t="shared" si="66"/>
        <v>0</v>
      </c>
      <c r="M188" s="33">
        <f t="shared" si="67"/>
        <v>0</v>
      </c>
      <c r="N188" s="33"/>
      <c r="O188" s="40"/>
      <c r="P188" s="155" t="s">
        <v>539</v>
      </c>
    </row>
    <row r="189" spans="2:16" ht="15" x14ac:dyDescent="0.35">
      <c r="B189" t="str">
        <f t="shared" ref="B189:B244" si="68">_xlfn.CONCAT(C189,F189)</f>
        <v>iBoxx MSCI USD High Yield Paris Aligned Capped TCA Index65</v>
      </c>
      <c r="C189" t="s">
        <v>119</v>
      </c>
      <c r="D189" t="s">
        <v>537</v>
      </c>
      <c r="E189" t="s">
        <v>538</v>
      </c>
      <c r="F189">
        <v>65</v>
      </c>
      <c r="G189" t="s">
        <v>535</v>
      </c>
      <c r="H189" s="26">
        <v>46904</v>
      </c>
      <c r="I189" s="33"/>
      <c r="J189" s="33">
        <f t="shared" ref="J189:J252" si="69">IF(G189="PA",I189*0.5,IF(G189="CT",I189*0.7,""))</f>
        <v>0</v>
      </c>
      <c r="K189" s="33">
        <f t="shared" si="65"/>
        <v>7454229.0196620477</v>
      </c>
      <c r="L189" s="33">
        <f t="shared" si="66"/>
        <v>0</v>
      </c>
      <c r="M189" s="33">
        <f t="shared" si="67"/>
        <v>0</v>
      </c>
      <c r="N189" s="33"/>
      <c r="O189" s="40"/>
      <c r="P189" s="155" t="s">
        <v>539</v>
      </c>
    </row>
    <row r="190" spans="2:16" ht="15" x14ac:dyDescent="0.35">
      <c r="B190" t="str">
        <f t="shared" si="68"/>
        <v>iBoxx MSCI USD High Yield Paris Aligned Capped TCA Index66</v>
      </c>
      <c r="C190" t="s">
        <v>119</v>
      </c>
      <c r="D190" t="s">
        <v>537</v>
      </c>
      <c r="E190" t="s">
        <v>538</v>
      </c>
      <c r="F190">
        <v>66</v>
      </c>
      <c r="G190" t="s">
        <v>535</v>
      </c>
      <c r="H190" s="26">
        <v>46934</v>
      </c>
      <c r="I190" s="33"/>
      <c r="J190" s="33">
        <f t="shared" si="69"/>
        <v>0</v>
      </c>
      <c r="K190" s="33">
        <f t="shared" si="65"/>
        <v>7409285.1765070418</v>
      </c>
      <c r="L190" s="33">
        <f t="shared" si="66"/>
        <v>0</v>
      </c>
      <c r="M190" s="33">
        <f t="shared" si="67"/>
        <v>0</v>
      </c>
      <c r="N190" s="33"/>
      <c r="O190" s="40"/>
      <c r="P190" s="155" t="s">
        <v>539</v>
      </c>
    </row>
    <row r="191" spans="2:16" ht="15" x14ac:dyDescent="0.35">
      <c r="B191" t="str">
        <f t="shared" si="68"/>
        <v>iBoxx MSCI USD High Yield Paris Aligned Capped TCA Index67</v>
      </c>
      <c r="C191" t="s">
        <v>119</v>
      </c>
      <c r="D191" t="s">
        <v>537</v>
      </c>
      <c r="E191" t="s">
        <v>538</v>
      </c>
      <c r="F191">
        <v>67</v>
      </c>
      <c r="G191" t="s">
        <v>535</v>
      </c>
      <c r="H191" s="26">
        <v>46965</v>
      </c>
      <c r="I191" s="33"/>
      <c r="J191" s="33">
        <f t="shared" si="69"/>
        <v>0</v>
      </c>
      <c r="K191" s="33">
        <f t="shared" si="65"/>
        <v>7364612.3136280933</v>
      </c>
      <c r="L191" s="33">
        <f t="shared" si="66"/>
        <v>0</v>
      </c>
      <c r="M191" s="33">
        <f t="shared" si="67"/>
        <v>0</v>
      </c>
      <c r="N191" s="33"/>
      <c r="O191" s="40"/>
      <c r="P191" s="155" t="s">
        <v>539</v>
      </c>
    </row>
    <row r="192" spans="2:16" ht="15" x14ac:dyDescent="0.35">
      <c r="B192" t="str">
        <f t="shared" si="68"/>
        <v>iBoxx MSCI USD High Yield Paris Aligned Capped TCA Index68</v>
      </c>
      <c r="C192" t="s">
        <v>119</v>
      </c>
      <c r="D192" t="s">
        <v>537</v>
      </c>
      <c r="E192" t="s">
        <v>538</v>
      </c>
      <c r="F192">
        <v>68</v>
      </c>
      <c r="G192" t="s">
        <v>535</v>
      </c>
      <c r="H192" s="26">
        <v>46996</v>
      </c>
      <c r="I192" s="33"/>
      <c r="J192" s="33">
        <f t="shared" si="69"/>
        <v>0</v>
      </c>
      <c r="K192" s="33">
        <f t="shared" si="65"/>
        <v>7320208.7972016381</v>
      </c>
      <c r="L192" s="33">
        <f t="shared" si="66"/>
        <v>0</v>
      </c>
      <c r="M192" s="33">
        <f t="shared" si="67"/>
        <v>0</v>
      </c>
      <c r="N192" s="33"/>
      <c r="O192" s="40"/>
      <c r="P192" s="155" t="s">
        <v>539</v>
      </c>
    </row>
    <row r="193" spans="2:16" ht="15" x14ac:dyDescent="0.35">
      <c r="B193" t="str">
        <f t="shared" si="68"/>
        <v>iBoxx MSCI USD High Yield Paris Aligned Capped TCA Index69</v>
      </c>
      <c r="C193" t="s">
        <v>119</v>
      </c>
      <c r="D193" t="s">
        <v>537</v>
      </c>
      <c r="E193" t="s">
        <v>538</v>
      </c>
      <c r="F193">
        <v>69</v>
      </c>
      <c r="G193" t="s">
        <v>535</v>
      </c>
      <c r="H193" s="26">
        <v>47026</v>
      </c>
      <c r="I193" s="33"/>
      <c r="J193" s="33">
        <f t="shared" si="69"/>
        <v>0</v>
      </c>
      <c r="K193" s="33">
        <f t="shared" si="65"/>
        <v>7276073.003254937</v>
      </c>
      <c r="L193" s="33">
        <f t="shared" si="66"/>
        <v>0</v>
      </c>
      <c r="M193" s="33">
        <f t="shared" si="67"/>
        <v>0</v>
      </c>
      <c r="N193" s="33"/>
      <c r="O193" s="40"/>
      <c r="P193" s="155" t="s">
        <v>539</v>
      </c>
    </row>
    <row r="194" spans="2:16" ht="15" x14ac:dyDescent="0.35">
      <c r="B194" t="str">
        <f t="shared" si="68"/>
        <v>iBoxx MSCI USD High Yield Paris Aligned Capped TCA Index70</v>
      </c>
      <c r="C194" t="s">
        <v>119</v>
      </c>
      <c r="D194" t="s">
        <v>537</v>
      </c>
      <c r="E194" t="s">
        <v>538</v>
      </c>
      <c r="F194">
        <v>70</v>
      </c>
      <c r="G194" t="s">
        <v>535</v>
      </c>
      <c r="H194" s="26">
        <v>47057</v>
      </c>
      <c r="I194" s="33"/>
      <c r="J194" s="33">
        <f t="shared" si="69"/>
        <v>0</v>
      </c>
      <c r="K194" s="33">
        <f t="shared" si="65"/>
        <v>7232203.3176066838</v>
      </c>
      <c r="L194" s="33">
        <f t="shared" si="66"/>
        <v>0</v>
      </c>
      <c r="M194" s="33">
        <f t="shared" si="67"/>
        <v>0</v>
      </c>
      <c r="N194" s="33"/>
      <c r="O194" s="40"/>
      <c r="P194" s="155" t="s">
        <v>539</v>
      </c>
    </row>
    <row r="195" spans="2:16" ht="15" x14ac:dyDescent="0.35">
      <c r="B195" t="str">
        <f t="shared" si="68"/>
        <v>iBoxx MSCI USD High Yield Paris Aligned Capped TCA Index71</v>
      </c>
      <c r="C195" t="s">
        <v>119</v>
      </c>
      <c r="D195" t="s">
        <v>537</v>
      </c>
      <c r="E195" t="s">
        <v>538</v>
      </c>
      <c r="F195">
        <v>71</v>
      </c>
      <c r="G195" t="s">
        <v>535</v>
      </c>
      <c r="H195" s="26">
        <v>47087</v>
      </c>
      <c r="I195" s="33"/>
      <c r="J195" s="33">
        <f t="shared" si="69"/>
        <v>0</v>
      </c>
      <c r="K195" s="33">
        <f t="shared" si="65"/>
        <v>7188598.1358079677</v>
      </c>
      <c r="L195" s="33">
        <f t="shared" si="66"/>
        <v>0</v>
      </c>
      <c r="M195" s="33">
        <f t="shared" si="67"/>
        <v>0</v>
      </c>
      <c r="N195" s="33"/>
      <c r="O195" s="40"/>
      <c r="P195" s="155" t="s">
        <v>539</v>
      </c>
    </row>
    <row r="196" spans="2:16" ht="15" x14ac:dyDescent="0.35">
      <c r="B196" t="str">
        <f t="shared" si="68"/>
        <v>iBoxx MSCI USD High Yield Paris Aligned Capped TCA Index72</v>
      </c>
      <c r="C196" t="s">
        <v>119</v>
      </c>
      <c r="D196" t="s">
        <v>537</v>
      </c>
      <c r="E196" t="s">
        <v>538</v>
      </c>
      <c r="F196">
        <v>72</v>
      </c>
      <c r="G196" t="s">
        <v>535</v>
      </c>
      <c r="H196" s="26">
        <v>47118</v>
      </c>
      <c r="I196" s="33"/>
      <c r="J196" s="33">
        <f t="shared" si="69"/>
        <v>0</v>
      </c>
      <c r="K196" s="33">
        <f t="shared" ref="K196:K259" si="70">VLOOKUP(C196,$C:$K,8,FALSE)*0.93^(F196/12)</f>
        <v>7145255.8630835963</v>
      </c>
      <c r="L196" s="33">
        <f t="shared" si="66"/>
        <v>0</v>
      </c>
      <c r="M196" s="33">
        <f t="shared" si="67"/>
        <v>0</v>
      </c>
      <c r="N196" s="33"/>
      <c r="O196" s="40"/>
      <c r="P196" s="155" t="s">
        <v>539</v>
      </c>
    </row>
    <row r="197" spans="2:16" ht="15" x14ac:dyDescent="0.35">
      <c r="B197" t="str">
        <f t="shared" si="68"/>
        <v>iBoxx MSCI USD High Yield Paris Aligned Capped TCA Index73</v>
      </c>
      <c r="C197" t="s">
        <v>119</v>
      </c>
      <c r="D197" t="s">
        <v>537</v>
      </c>
      <c r="E197" t="s">
        <v>538</v>
      </c>
      <c r="F197">
        <v>73</v>
      </c>
      <c r="G197" t="s">
        <v>535</v>
      </c>
      <c r="H197" s="26">
        <v>47149</v>
      </c>
      <c r="I197" s="33"/>
      <c r="J197" s="33">
        <f t="shared" si="69"/>
        <v>0</v>
      </c>
      <c r="K197" s="33">
        <f t="shared" si="70"/>
        <v>7102174.9142737649</v>
      </c>
      <c r="L197" s="33">
        <f t="shared" ref="L197:L260" si="71">MIN(J197,K197)</f>
        <v>0</v>
      </c>
      <c r="M197" s="33">
        <f t="shared" ref="M197:M260" si="72">L197*0.975</f>
        <v>0</v>
      </c>
      <c r="N197" s="33"/>
      <c r="O197" s="40"/>
      <c r="P197" s="155" t="s">
        <v>539</v>
      </c>
    </row>
    <row r="198" spans="2:16" ht="15" x14ac:dyDescent="0.35">
      <c r="B198" t="str">
        <f t="shared" si="68"/>
        <v>iBoxx MSCI USD High Yield Paris Aligned Capped TCA Index74</v>
      </c>
      <c r="C198" t="s">
        <v>119</v>
      </c>
      <c r="D198" t="s">
        <v>537</v>
      </c>
      <c r="E198" t="s">
        <v>538</v>
      </c>
      <c r="F198">
        <v>74</v>
      </c>
      <c r="G198" t="s">
        <v>535</v>
      </c>
      <c r="H198" s="26">
        <v>47177</v>
      </c>
      <c r="I198" s="33"/>
      <c r="J198" s="33">
        <f t="shared" si="69"/>
        <v>0</v>
      </c>
      <c r="K198" s="33">
        <f t="shared" si="70"/>
        <v>7059353.7137760902</v>
      </c>
      <c r="L198" s="33">
        <f t="shared" si="71"/>
        <v>0</v>
      </c>
      <c r="M198" s="33">
        <f t="shared" si="72"/>
        <v>0</v>
      </c>
      <c r="N198" s="33"/>
      <c r="O198" s="40"/>
      <c r="P198" s="155" t="s">
        <v>539</v>
      </c>
    </row>
    <row r="199" spans="2:16" ht="15" x14ac:dyDescent="0.35">
      <c r="B199" t="str">
        <f t="shared" si="68"/>
        <v>iBoxx MSCI USD High Yield Paris Aligned Capped TCA Index75</v>
      </c>
      <c r="C199" t="s">
        <v>119</v>
      </c>
      <c r="D199" t="s">
        <v>537</v>
      </c>
      <c r="E199" t="s">
        <v>538</v>
      </c>
      <c r="F199">
        <v>75</v>
      </c>
      <c r="G199" t="s">
        <v>535</v>
      </c>
      <c r="H199" s="26">
        <v>47208</v>
      </c>
      <c r="I199" s="33"/>
      <c r="J199" s="33">
        <f t="shared" si="69"/>
        <v>0</v>
      </c>
      <c r="K199" s="33">
        <f t="shared" si="70"/>
        <v>7016790.695487977</v>
      </c>
      <c r="L199" s="33">
        <f t="shared" si="71"/>
        <v>0</v>
      </c>
      <c r="M199" s="33">
        <f t="shared" si="72"/>
        <v>0</v>
      </c>
      <c r="N199" s="33"/>
      <c r="O199" s="40"/>
      <c r="P199" s="155" t="s">
        <v>539</v>
      </c>
    </row>
    <row r="200" spans="2:16" ht="15" x14ac:dyDescent="0.35">
      <c r="B200" t="str">
        <f t="shared" si="68"/>
        <v>iBoxx MSCI USD High Yield Paris Aligned Capped TCA Index76</v>
      </c>
      <c r="C200" t="s">
        <v>119</v>
      </c>
      <c r="D200" t="s">
        <v>537</v>
      </c>
      <c r="E200" t="s">
        <v>538</v>
      </c>
      <c r="F200">
        <v>76</v>
      </c>
      <c r="G200" t="s">
        <v>535</v>
      </c>
      <c r="H200" s="26">
        <v>47238</v>
      </c>
      <c r="I200" s="33"/>
      <c r="J200" s="33">
        <f t="shared" si="69"/>
        <v>0</v>
      </c>
      <c r="K200" s="33">
        <f t="shared" si="70"/>
        <v>6974484.3027493479</v>
      </c>
      <c r="L200" s="33">
        <f t="shared" si="71"/>
        <v>0</v>
      </c>
      <c r="M200" s="33">
        <f t="shared" si="72"/>
        <v>0</v>
      </c>
      <c r="N200" s="33"/>
      <c r="O200" s="40"/>
      <c r="P200" s="155" t="s">
        <v>539</v>
      </c>
    </row>
    <row r="201" spans="2:16" ht="15" x14ac:dyDescent="0.35">
      <c r="B201" t="str">
        <f t="shared" si="68"/>
        <v>iBoxx MSCI USD High Yield Paris Aligned Capped TCA Index77</v>
      </c>
      <c r="C201" t="s">
        <v>119</v>
      </c>
      <c r="D201" t="s">
        <v>537</v>
      </c>
      <c r="E201" t="s">
        <v>538</v>
      </c>
      <c r="F201">
        <v>77</v>
      </c>
      <c r="G201" t="s">
        <v>535</v>
      </c>
      <c r="H201" s="26">
        <v>47269</v>
      </c>
      <c r="I201" s="33"/>
      <c r="J201" s="33">
        <f t="shared" si="69"/>
        <v>0</v>
      </c>
      <c r="K201" s="33">
        <f t="shared" si="70"/>
        <v>6932432.9882857054</v>
      </c>
      <c r="L201" s="33">
        <f t="shared" si="71"/>
        <v>0</v>
      </c>
      <c r="M201" s="33">
        <f t="shared" si="72"/>
        <v>0</v>
      </c>
      <c r="N201" s="33"/>
      <c r="O201" s="40"/>
      <c r="P201" s="155" t="s">
        <v>539</v>
      </c>
    </row>
    <row r="202" spans="2:16" ht="15" x14ac:dyDescent="0.35">
      <c r="B202" t="str">
        <f t="shared" si="68"/>
        <v>iBoxx MSCI USD High Yield Paris Aligned Capped TCA Index78</v>
      </c>
      <c r="C202" t="s">
        <v>119</v>
      </c>
      <c r="D202" t="s">
        <v>537</v>
      </c>
      <c r="E202" t="s">
        <v>538</v>
      </c>
      <c r="F202">
        <v>78</v>
      </c>
      <c r="G202" t="s">
        <v>535</v>
      </c>
      <c r="H202" s="26">
        <v>47299</v>
      </c>
      <c r="I202" s="33"/>
      <c r="J202" s="33">
        <f t="shared" si="69"/>
        <v>0</v>
      </c>
      <c r="K202" s="33">
        <f t="shared" si="70"/>
        <v>6890635.2141515492</v>
      </c>
      <c r="L202" s="33">
        <f t="shared" si="71"/>
        <v>0</v>
      </c>
      <c r="M202" s="33">
        <f t="shared" si="72"/>
        <v>0</v>
      </c>
      <c r="N202" s="33"/>
      <c r="O202" s="40"/>
      <c r="P202" s="155" t="s">
        <v>539</v>
      </c>
    </row>
    <row r="203" spans="2:16" ht="15" x14ac:dyDescent="0.35">
      <c r="B203" t="str">
        <f t="shared" si="68"/>
        <v>iBoxx MSCI USD High Yield Paris Aligned Capped TCA Index79</v>
      </c>
      <c r="C203" t="s">
        <v>119</v>
      </c>
      <c r="D203" t="s">
        <v>537</v>
      </c>
      <c r="E203" t="s">
        <v>538</v>
      </c>
      <c r="F203">
        <v>79</v>
      </c>
      <c r="G203" t="s">
        <v>535</v>
      </c>
      <c r="H203" s="26">
        <v>47330</v>
      </c>
      <c r="I203" s="33"/>
      <c r="J203" s="33">
        <f t="shared" si="69"/>
        <v>0</v>
      </c>
      <c r="K203" s="33">
        <f t="shared" si="70"/>
        <v>6849089.451674128</v>
      </c>
      <c r="L203" s="33">
        <f t="shared" si="71"/>
        <v>0</v>
      </c>
      <c r="M203" s="33">
        <f t="shared" si="72"/>
        <v>0</v>
      </c>
      <c r="N203" s="33"/>
      <c r="O203" s="40"/>
      <c r="P203" s="155" t="s">
        <v>539</v>
      </c>
    </row>
    <row r="204" spans="2:16" ht="15" x14ac:dyDescent="0.35">
      <c r="B204" t="str">
        <f t="shared" si="68"/>
        <v>iBoxx MSCI USD High Yield Paris Aligned Capped TCA Index80</v>
      </c>
      <c r="C204" t="s">
        <v>119</v>
      </c>
      <c r="D204" t="s">
        <v>537</v>
      </c>
      <c r="E204" t="s">
        <v>538</v>
      </c>
      <c r="F204">
        <v>80</v>
      </c>
      <c r="G204" t="s">
        <v>535</v>
      </c>
      <c r="H204" s="26">
        <v>47361</v>
      </c>
      <c r="I204" s="33"/>
      <c r="J204" s="33">
        <f t="shared" si="69"/>
        <v>0</v>
      </c>
      <c r="K204" s="33">
        <f t="shared" si="70"/>
        <v>6807794.1813975228</v>
      </c>
      <c r="L204" s="33">
        <f t="shared" si="71"/>
        <v>0</v>
      </c>
      <c r="M204" s="33">
        <f t="shared" si="72"/>
        <v>0</v>
      </c>
      <c r="N204" s="33"/>
      <c r="O204" s="40"/>
      <c r="P204" s="155" t="s">
        <v>539</v>
      </c>
    </row>
    <row r="205" spans="2:16" ht="15" x14ac:dyDescent="0.35">
      <c r="B205" t="str">
        <f t="shared" si="68"/>
        <v>iBoxx MSCI USD High Yield Paris Aligned Capped TCA Index81</v>
      </c>
      <c r="C205" t="s">
        <v>119</v>
      </c>
      <c r="D205" t="s">
        <v>537</v>
      </c>
      <c r="E205" t="s">
        <v>538</v>
      </c>
      <c r="F205">
        <v>81</v>
      </c>
      <c r="G205" t="s">
        <v>535</v>
      </c>
      <c r="H205" s="26">
        <v>47391</v>
      </c>
      <c r="I205" s="33"/>
      <c r="J205" s="33">
        <f t="shared" si="69"/>
        <v>0</v>
      </c>
      <c r="K205" s="33">
        <f t="shared" si="70"/>
        <v>6766747.8930270923</v>
      </c>
      <c r="L205" s="33">
        <f t="shared" si="71"/>
        <v>0</v>
      </c>
      <c r="M205" s="33">
        <f t="shared" si="72"/>
        <v>0</v>
      </c>
      <c r="N205" s="33"/>
      <c r="O205" s="40"/>
      <c r="P205" s="155" t="s">
        <v>539</v>
      </c>
    </row>
    <row r="206" spans="2:16" ht="15" x14ac:dyDescent="0.35">
      <c r="B206" t="str">
        <f t="shared" si="68"/>
        <v>iBoxx MSCI USD High Yield Paris Aligned Capped TCA Index82</v>
      </c>
      <c r="C206" t="s">
        <v>119</v>
      </c>
      <c r="D206" t="s">
        <v>537</v>
      </c>
      <c r="E206" t="s">
        <v>538</v>
      </c>
      <c r="F206">
        <v>82</v>
      </c>
      <c r="G206" t="s">
        <v>535</v>
      </c>
      <c r="H206" s="26">
        <v>47422</v>
      </c>
      <c r="I206" s="33"/>
      <c r="J206" s="33">
        <f t="shared" si="69"/>
        <v>0</v>
      </c>
      <c r="K206" s="33">
        <f t="shared" si="70"/>
        <v>6725949.0853742156</v>
      </c>
      <c r="L206" s="33">
        <f t="shared" si="71"/>
        <v>0</v>
      </c>
      <c r="M206" s="33">
        <f t="shared" si="72"/>
        <v>0</v>
      </c>
      <c r="N206" s="33"/>
      <c r="O206" s="40"/>
      <c r="P206" s="155" t="s">
        <v>539</v>
      </c>
    </row>
    <row r="207" spans="2:16" ht="15" x14ac:dyDescent="0.35">
      <c r="B207" t="str">
        <f t="shared" si="68"/>
        <v>iBoxx MSCI USD High Yield Paris Aligned Capped TCA Index83</v>
      </c>
      <c r="C207" t="s">
        <v>119</v>
      </c>
      <c r="D207" t="s">
        <v>537</v>
      </c>
      <c r="E207" t="s">
        <v>538</v>
      </c>
      <c r="F207">
        <v>83</v>
      </c>
      <c r="G207" t="s">
        <v>535</v>
      </c>
      <c r="H207" s="26">
        <v>47452</v>
      </c>
      <c r="I207" s="33"/>
      <c r="J207" s="33">
        <f t="shared" si="69"/>
        <v>0</v>
      </c>
      <c r="K207" s="33">
        <f t="shared" si="70"/>
        <v>6685396.2663014103</v>
      </c>
      <c r="L207" s="33">
        <f t="shared" si="71"/>
        <v>0</v>
      </c>
      <c r="M207" s="33">
        <f t="shared" si="72"/>
        <v>0</v>
      </c>
      <c r="N207" s="33"/>
      <c r="O207" s="40"/>
      <c r="P207" s="155" t="s">
        <v>539</v>
      </c>
    </row>
    <row r="208" spans="2:16" ht="15" x14ac:dyDescent="0.35">
      <c r="B208" t="str">
        <f t="shared" si="68"/>
        <v>iBoxx MSCI USD High Yield Paris Aligned Capped TCA Index84</v>
      </c>
      <c r="C208" t="s">
        <v>119</v>
      </c>
      <c r="D208" t="s">
        <v>537</v>
      </c>
      <c r="E208" t="s">
        <v>538</v>
      </c>
      <c r="F208">
        <v>84</v>
      </c>
      <c r="G208" t="s">
        <v>535</v>
      </c>
      <c r="H208" s="26">
        <v>47483</v>
      </c>
      <c r="I208" s="33"/>
      <c r="J208" s="33">
        <f t="shared" si="69"/>
        <v>0</v>
      </c>
      <c r="K208" s="33">
        <f t="shared" si="70"/>
        <v>6645087.9526677448</v>
      </c>
      <c r="L208" s="33">
        <f t="shared" si="71"/>
        <v>0</v>
      </c>
      <c r="M208" s="33">
        <f t="shared" si="72"/>
        <v>0</v>
      </c>
      <c r="N208" s="33"/>
      <c r="O208" s="40"/>
      <c r="P208" s="155" t="s">
        <v>539</v>
      </c>
    </row>
    <row r="209" spans="2:16" ht="15" x14ac:dyDescent="0.35">
      <c r="B209" t="str">
        <f t="shared" si="68"/>
        <v>iBoxx MSCI USD High Yield Paris Aligned Capped TCA Index85</v>
      </c>
      <c r="C209" t="s">
        <v>119</v>
      </c>
      <c r="D209" t="s">
        <v>537</v>
      </c>
      <c r="E209" t="s">
        <v>538</v>
      </c>
      <c r="F209">
        <v>85</v>
      </c>
      <c r="G209" t="s">
        <v>535</v>
      </c>
      <c r="H209" s="26">
        <v>47514</v>
      </c>
      <c r="I209" s="33"/>
      <c r="J209" s="33">
        <f t="shared" si="69"/>
        <v>0</v>
      </c>
      <c r="K209" s="33">
        <f t="shared" si="70"/>
        <v>6605022.6702746013</v>
      </c>
      <c r="L209" s="33">
        <f t="shared" si="71"/>
        <v>0</v>
      </c>
      <c r="M209" s="33">
        <f t="shared" si="72"/>
        <v>0</v>
      </c>
      <c r="N209" s="33"/>
      <c r="O209" s="40"/>
      <c r="P209" s="155" t="s">
        <v>539</v>
      </c>
    </row>
    <row r="210" spans="2:16" ht="15" x14ac:dyDescent="0.35">
      <c r="B210" t="str">
        <f t="shared" si="68"/>
        <v>iBoxx MSCI USD High Yield Paris Aligned Capped TCA Index86</v>
      </c>
      <c r="C210" t="s">
        <v>119</v>
      </c>
      <c r="D210" t="s">
        <v>537</v>
      </c>
      <c r="E210" t="s">
        <v>538</v>
      </c>
      <c r="F210">
        <v>86</v>
      </c>
      <c r="G210" t="s">
        <v>535</v>
      </c>
      <c r="H210" s="26">
        <v>47542</v>
      </c>
      <c r="I210" s="33"/>
      <c r="J210" s="33">
        <f t="shared" si="69"/>
        <v>0</v>
      </c>
      <c r="K210" s="33">
        <f t="shared" si="70"/>
        <v>6565198.9538117638</v>
      </c>
      <c r="L210" s="33">
        <f t="shared" si="71"/>
        <v>0</v>
      </c>
      <c r="M210" s="33">
        <f t="shared" si="72"/>
        <v>0</v>
      </c>
      <c r="N210" s="33"/>
      <c r="O210" s="40"/>
      <c r="P210" s="155" t="s">
        <v>539</v>
      </c>
    </row>
    <row r="211" spans="2:16" ht="15" x14ac:dyDescent="0.35">
      <c r="B211" t="str">
        <f t="shared" si="68"/>
        <v>iBoxx MSCI USD High Yield Paris Aligned Capped TCA Index87</v>
      </c>
      <c r="C211" t="s">
        <v>119</v>
      </c>
      <c r="D211" t="s">
        <v>537</v>
      </c>
      <c r="E211" t="s">
        <v>538</v>
      </c>
      <c r="F211">
        <v>87</v>
      </c>
      <c r="G211" t="s">
        <v>535</v>
      </c>
      <c r="H211" s="26">
        <v>47573</v>
      </c>
      <c r="I211" s="33"/>
      <c r="J211" s="33">
        <f t="shared" si="69"/>
        <v>0</v>
      </c>
      <c r="K211" s="33">
        <f t="shared" si="70"/>
        <v>6525615.3468038198</v>
      </c>
      <c r="L211" s="33">
        <f t="shared" si="71"/>
        <v>0</v>
      </c>
      <c r="M211" s="33">
        <f t="shared" si="72"/>
        <v>0</v>
      </c>
      <c r="N211" s="33"/>
      <c r="O211" s="40"/>
      <c r="P211" s="155" t="s">
        <v>539</v>
      </c>
    </row>
    <row r="212" spans="2:16" ht="15" x14ac:dyDescent="0.35">
      <c r="B212" t="str">
        <f t="shared" si="68"/>
        <v>iBoxx MSCI USD High Yield Paris Aligned Capped TCA Index88</v>
      </c>
      <c r="C212" t="s">
        <v>119</v>
      </c>
      <c r="D212" t="s">
        <v>537</v>
      </c>
      <c r="E212" t="s">
        <v>538</v>
      </c>
      <c r="F212">
        <v>88</v>
      </c>
      <c r="G212" t="s">
        <v>535</v>
      </c>
      <c r="H212" s="26">
        <v>47603</v>
      </c>
      <c r="I212" s="33"/>
      <c r="J212" s="33">
        <f t="shared" si="69"/>
        <v>0</v>
      </c>
      <c r="K212" s="33">
        <f t="shared" si="70"/>
        <v>6486270.4015568933</v>
      </c>
      <c r="L212" s="33">
        <f t="shared" si="71"/>
        <v>0</v>
      </c>
      <c r="M212" s="33">
        <f t="shared" si="72"/>
        <v>0</v>
      </c>
      <c r="N212" s="33"/>
      <c r="O212" s="40"/>
      <c r="P212" s="155" t="s">
        <v>539</v>
      </c>
    </row>
    <row r="213" spans="2:16" ht="15" x14ac:dyDescent="0.35">
      <c r="B213" t="str">
        <f t="shared" si="68"/>
        <v>iBoxx MSCI USD High Yield Paris Aligned Capped TCA Index89</v>
      </c>
      <c r="C213" t="s">
        <v>119</v>
      </c>
      <c r="D213" t="s">
        <v>537</v>
      </c>
      <c r="E213" t="s">
        <v>538</v>
      </c>
      <c r="F213">
        <v>89</v>
      </c>
      <c r="G213" t="s">
        <v>535</v>
      </c>
      <c r="H213" s="26">
        <v>47634</v>
      </c>
      <c r="I213" s="33"/>
      <c r="J213" s="33">
        <f t="shared" si="69"/>
        <v>0</v>
      </c>
      <c r="K213" s="33">
        <f t="shared" si="70"/>
        <v>6447162.6791057065</v>
      </c>
      <c r="L213" s="33">
        <f t="shared" si="71"/>
        <v>0</v>
      </c>
      <c r="M213" s="33">
        <f t="shared" si="72"/>
        <v>0</v>
      </c>
      <c r="N213" s="33"/>
      <c r="O213" s="40"/>
      <c r="P213" s="155" t="s">
        <v>539</v>
      </c>
    </row>
    <row r="214" spans="2:16" ht="15" x14ac:dyDescent="0.35">
      <c r="B214" t="str">
        <f t="shared" si="68"/>
        <v>iBoxx MSCI USD High Yield Paris Aligned Capped TCA Index90</v>
      </c>
      <c r="C214" t="s">
        <v>119</v>
      </c>
      <c r="D214" t="s">
        <v>537</v>
      </c>
      <c r="E214" t="s">
        <v>538</v>
      </c>
      <c r="F214">
        <v>90</v>
      </c>
      <c r="G214" t="s">
        <v>535</v>
      </c>
      <c r="H214" s="26">
        <v>47664</v>
      </c>
      <c r="I214" s="33"/>
      <c r="J214" s="33">
        <f t="shared" si="69"/>
        <v>0</v>
      </c>
      <c r="K214" s="33">
        <f t="shared" si="70"/>
        <v>6408290.7491609417</v>
      </c>
      <c r="L214" s="33">
        <f t="shared" si="71"/>
        <v>0</v>
      </c>
      <c r="M214" s="33">
        <f t="shared" si="72"/>
        <v>0</v>
      </c>
      <c r="N214" s="33"/>
      <c r="O214" s="40"/>
      <c r="P214" s="155" t="s">
        <v>539</v>
      </c>
    </row>
    <row r="215" spans="2:16" ht="15" x14ac:dyDescent="0.35">
      <c r="B215" t="str">
        <f t="shared" si="68"/>
        <v>iBoxx MSCI USD High Yield Paris Aligned Capped TCA Index91</v>
      </c>
      <c r="C215" t="s">
        <v>119</v>
      </c>
      <c r="D215" t="s">
        <v>537</v>
      </c>
      <c r="E215" t="s">
        <v>538</v>
      </c>
      <c r="F215">
        <v>91</v>
      </c>
      <c r="G215" t="s">
        <v>535</v>
      </c>
      <c r="H215" s="26">
        <v>47695</v>
      </c>
      <c r="I215" s="33"/>
      <c r="J215" s="33">
        <f t="shared" si="69"/>
        <v>0</v>
      </c>
      <c r="K215" s="33">
        <f t="shared" si="70"/>
        <v>6369653.1900569387</v>
      </c>
      <c r="L215" s="33">
        <f t="shared" si="71"/>
        <v>0</v>
      </c>
      <c r="M215" s="33">
        <f t="shared" si="72"/>
        <v>0</v>
      </c>
      <c r="N215" s="33"/>
      <c r="O215" s="40"/>
      <c r="P215" s="155" t="s">
        <v>539</v>
      </c>
    </row>
    <row r="216" spans="2:16" ht="15" x14ac:dyDescent="0.35">
      <c r="B216" t="str">
        <f t="shared" si="68"/>
        <v>iBoxx MSCI USD High Yield Paris Aligned Capped TCA Index92</v>
      </c>
      <c r="C216" t="s">
        <v>119</v>
      </c>
      <c r="D216" t="s">
        <v>537</v>
      </c>
      <c r="E216" t="s">
        <v>538</v>
      </c>
      <c r="F216">
        <v>92</v>
      </c>
      <c r="G216" t="s">
        <v>535</v>
      </c>
      <c r="H216" s="26">
        <v>47726</v>
      </c>
      <c r="I216" s="33"/>
      <c r="J216" s="33">
        <f t="shared" si="69"/>
        <v>0</v>
      </c>
      <c r="K216" s="33">
        <f t="shared" si="70"/>
        <v>6331248.5886996975</v>
      </c>
      <c r="L216" s="33">
        <f t="shared" si="71"/>
        <v>0</v>
      </c>
      <c r="M216" s="33">
        <f t="shared" si="72"/>
        <v>0</v>
      </c>
      <c r="N216" s="33"/>
      <c r="O216" s="40"/>
      <c r="P216" s="155" t="s">
        <v>539</v>
      </c>
    </row>
    <row r="217" spans="2:16" ht="15" x14ac:dyDescent="0.35">
      <c r="B217" t="str">
        <f t="shared" si="68"/>
        <v>iBoxx MSCI USD High Yield Paris Aligned Capped TCA Index93</v>
      </c>
      <c r="C217" t="s">
        <v>119</v>
      </c>
      <c r="D217" t="s">
        <v>537</v>
      </c>
      <c r="E217" t="s">
        <v>538</v>
      </c>
      <c r="F217">
        <v>93</v>
      </c>
      <c r="G217" t="s">
        <v>535</v>
      </c>
      <c r="H217" s="26">
        <v>47756</v>
      </c>
      <c r="I217" s="33"/>
      <c r="J217" s="33">
        <f t="shared" si="69"/>
        <v>0</v>
      </c>
      <c r="K217" s="33">
        <f t="shared" si="70"/>
        <v>6293075.5405151965</v>
      </c>
      <c r="L217" s="33">
        <f t="shared" si="71"/>
        <v>0</v>
      </c>
      <c r="M217" s="33">
        <f t="shared" si="72"/>
        <v>0</v>
      </c>
      <c r="N217" s="33"/>
      <c r="O217" s="40"/>
      <c r="P217" s="155" t="s">
        <v>539</v>
      </c>
    </row>
    <row r="218" spans="2:16" ht="15" x14ac:dyDescent="0.35">
      <c r="B218" t="str">
        <f t="shared" si="68"/>
        <v>iBoxx MSCI USD High Yield Paris Aligned Capped TCA Index94</v>
      </c>
      <c r="C218" t="s">
        <v>119</v>
      </c>
      <c r="D218" t="s">
        <v>537</v>
      </c>
      <c r="E218" t="s">
        <v>538</v>
      </c>
      <c r="F218">
        <v>94</v>
      </c>
      <c r="G218" t="s">
        <v>535</v>
      </c>
      <c r="H218" s="26">
        <v>47787</v>
      </c>
      <c r="I218" s="33"/>
      <c r="J218" s="33">
        <f t="shared" si="69"/>
        <v>0</v>
      </c>
      <c r="K218" s="33">
        <f t="shared" si="70"/>
        <v>6255132.6493980205</v>
      </c>
      <c r="L218" s="33">
        <f t="shared" si="71"/>
        <v>0</v>
      </c>
      <c r="M218" s="33">
        <f t="shared" si="72"/>
        <v>0</v>
      </c>
      <c r="N218" s="33"/>
      <c r="O218" s="40"/>
      <c r="P218" s="155" t="s">
        <v>539</v>
      </c>
    </row>
    <row r="219" spans="2:16" ht="15" x14ac:dyDescent="0.35">
      <c r="B219" t="str">
        <f t="shared" si="68"/>
        <v>iBoxx MSCI USD High Yield Paris Aligned Capped TCA Index95</v>
      </c>
      <c r="C219" t="s">
        <v>119</v>
      </c>
      <c r="D219" t="s">
        <v>537</v>
      </c>
      <c r="E219" t="s">
        <v>538</v>
      </c>
      <c r="F219">
        <v>95</v>
      </c>
      <c r="G219" t="s">
        <v>535</v>
      </c>
      <c r="H219" s="26">
        <v>47817</v>
      </c>
      <c r="I219" s="33"/>
      <c r="J219" s="33">
        <f t="shared" si="69"/>
        <v>0</v>
      </c>
      <c r="K219" s="33">
        <f t="shared" si="70"/>
        <v>6217418.5276603121</v>
      </c>
      <c r="L219" s="33">
        <f t="shared" si="71"/>
        <v>0</v>
      </c>
      <c r="M219" s="33">
        <f t="shared" si="72"/>
        <v>0</v>
      </c>
      <c r="N219" s="33"/>
      <c r="O219" s="40"/>
      <c r="P219" s="155" t="s">
        <v>539</v>
      </c>
    </row>
    <row r="220" spans="2:16" ht="15" x14ac:dyDescent="0.35">
      <c r="B220" t="str">
        <f t="shared" si="68"/>
        <v>iBoxx MSCI USD High Yield Paris Aligned Capped TCA Index96</v>
      </c>
      <c r="C220" t="s">
        <v>119</v>
      </c>
      <c r="D220" t="s">
        <v>537</v>
      </c>
      <c r="E220" t="s">
        <v>538</v>
      </c>
      <c r="F220">
        <v>96</v>
      </c>
      <c r="G220" t="s">
        <v>535</v>
      </c>
      <c r="H220" s="26">
        <v>47848</v>
      </c>
      <c r="J220" s="33">
        <f t="shared" si="69"/>
        <v>0</v>
      </c>
      <c r="K220" s="33">
        <f t="shared" si="70"/>
        <v>6179931.7959810039</v>
      </c>
      <c r="L220" s="33">
        <f t="shared" si="71"/>
        <v>0</v>
      </c>
      <c r="M220" s="33">
        <f t="shared" si="72"/>
        <v>0</v>
      </c>
      <c r="N220" s="33"/>
      <c r="O220" s="40"/>
      <c r="P220" s="155" t="s">
        <v>539</v>
      </c>
    </row>
    <row r="221" spans="2:16" ht="15" x14ac:dyDescent="0.35">
      <c r="B221" t="str">
        <f t="shared" si="68"/>
        <v>iBoxx MSCI USD High Yield Paris Aligned Capped TCA Index97</v>
      </c>
      <c r="C221" t="s">
        <v>119</v>
      </c>
      <c r="D221" t="s">
        <v>537</v>
      </c>
      <c r="E221" t="s">
        <v>538</v>
      </c>
      <c r="F221">
        <v>97</v>
      </c>
      <c r="G221" t="s">
        <v>535</v>
      </c>
      <c r="H221" s="26">
        <v>47879</v>
      </c>
      <c r="J221" s="33">
        <f t="shared" si="69"/>
        <v>0</v>
      </c>
      <c r="K221" s="33">
        <f t="shared" si="70"/>
        <v>6142671.0833553793</v>
      </c>
      <c r="L221" s="33">
        <f t="shared" si="71"/>
        <v>0</v>
      </c>
      <c r="M221" s="33">
        <f t="shared" si="72"/>
        <v>0</v>
      </c>
      <c r="N221" s="33"/>
      <c r="O221" s="40"/>
      <c r="P221" s="155" t="s">
        <v>539</v>
      </c>
    </row>
    <row r="222" spans="2:16" ht="15" x14ac:dyDescent="0.35">
      <c r="B222" t="str">
        <f t="shared" si="68"/>
        <v>iBoxx MSCI USD High Yield Paris Aligned Capped TCA Index98</v>
      </c>
      <c r="C222" t="s">
        <v>119</v>
      </c>
      <c r="D222" t="s">
        <v>537</v>
      </c>
      <c r="E222" t="s">
        <v>538</v>
      </c>
      <c r="F222">
        <v>98</v>
      </c>
      <c r="G222" t="s">
        <v>535</v>
      </c>
      <c r="H222" s="26">
        <v>47907</v>
      </c>
      <c r="J222" s="33">
        <f t="shared" si="69"/>
        <v>0</v>
      </c>
      <c r="K222" s="33">
        <f t="shared" si="70"/>
        <v>6105635.0270449407</v>
      </c>
      <c r="L222" s="33">
        <f t="shared" si="71"/>
        <v>0</v>
      </c>
      <c r="M222" s="33">
        <f t="shared" si="72"/>
        <v>0</v>
      </c>
      <c r="N222" s="33"/>
      <c r="O222" s="40"/>
      <c r="P222" s="155" t="s">
        <v>539</v>
      </c>
    </row>
    <row r="223" spans="2:16" ht="15" x14ac:dyDescent="0.35">
      <c r="B223" t="str">
        <f t="shared" si="68"/>
        <v>iBoxx MSCI USD High Yield Paris Aligned Capped TCA Index99</v>
      </c>
      <c r="C223" t="s">
        <v>119</v>
      </c>
      <c r="D223" t="s">
        <v>537</v>
      </c>
      <c r="E223" t="s">
        <v>538</v>
      </c>
      <c r="F223">
        <v>99</v>
      </c>
      <c r="G223" t="s">
        <v>535</v>
      </c>
      <c r="H223" s="26">
        <v>47938</v>
      </c>
      <c r="J223" s="33">
        <f t="shared" si="69"/>
        <v>0</v>
      </c>
      <c r="K223" s="33">
        <f t="shared" si="70"/>
        <v>6068822.2725275522</v>
      </c>
      <c r="L223" s="33">
        <f t="shared" si="71"/>
        <v>0</v>
      </c>
      <c r="M223" s="33">
        <f t="shared" si="72"/>
        <v>0</v>
      </c>
      <c r="N223" s="33"/>
      <c r="O223" s="40"/>
      <c r="P223" s="155" t="s">
        <v>539</v>
      </c>
    </row>
    <row r="224" spans="2:16" ht="15" x14ac:dyDescent="0.35">
      <c r="B224" t="str">
        <f t="shared" si="68"/>
        <v>iBoxx MSCI USD High Yield Paris Aligned Capped TCA Index100</v>
      </c>
      <c r="C224" t="s">
        <v>119</v>
      </c>
      <c r="D224" t="s">
        <v>537</v>
      </c>
      <c r="E224" t="s">
        <v>538</v>
      </c>
      <c r="F224">
        <v>100</v>
      </c>
      <c r="G224" t="s">
        <v>535</v>
      </c>
      <c r="H224" s="26">
        <v>47968</v>
      </c>
      <c r="J224" s="33">
        <f t="shared" si="69"/>
        <v>0</v>
      </c>
      <c r="K224" s="33">
        <f t="shared" si="70"/>
        <v>6032231.4734479105</v>
      </c>
      <c r="L224" s="33">
        <f t="shared" si="71"/>
        <v>0</v>
      </c>
      <c r="M224" s="33">
        <f t="shared" si="72"/>
        <v>0</v>
      </c>
      <c r="N224" s="33"/>
      <c r="O224" s="40"/>
      <c r="P224" s="155" t="s">
        <v>539</v>
      </c>
    </row>
    <row r="225" spans="2:16" ht="15" x14ac:dyDescent="0.35">
      <c r="B225" t="str">
        <f t="shared" si="68"/>
        <v>iBoxx MSCI USD High Yield Paris Aligned Capped TCA Index101</v>
      </c>
      <c r="C225" t="s">
        <v>119</v>
      </c>
      <c r="D225" t="s">
        <v>537</v>
      </c>
      <c r="E225" t="s">
        <v>538</v>
      </c>
      <c r="F225">
        <v>101</v>
      </c>
      <c r="G225" t="s">
        <v>535</v>
      </c>
      <c r="H225" s="26">
        <v>47999</v>
      </c>
      <c r="J225" s="33">
        <f t="shared" si="69"/>
        <v>0</v>
      </c>
      <c r="K225" s="33">
        <f t="shared" si="70"/>
        <v>5995861.2915683081</v>
      </c>
      <c r="L225" s="33">
        <f t="shared" si="71"/>
        <v>0</v>
      </c>
      <c r="M225" s="33">
        <f t="shared" si="72"/>
        <v>0</v>
      </c>
      <c r="N225" s="33"/>
      <c r="O225" s="40"/>
      <c r="P225" s="155" t="s">
        <v>539</v>
      </c>
    </row>
    <row r="226" spans="2:16" ht="15" x14ac:dyDescent="0.35">
      <c r="B226" t="str">
        <f t="shared" si="68"/>
        <v>iBoxx MSCI USD High Yield Paris Aligned Capped TCA Index102</v>
      </c>
      <c r="C226" t="s">
        <v>119</v>
      </c>
      <c r="D226" t="s">
        <v>537</v>
      </c>
      <c r="E226" t="s">
        <v>538</v>
      </c>
      <c r="F226">
        <v>102</v>
      </c>
      <c r="G226" t="s">
        <v>535</v>
      </c>
      <c r="H226" s="26">
        <v>48029</v>
      </c>
      <c r="J226" s="33">
        <f t="shared" si="69"/>
        <v>0</v>
      </c>
      <c r="K226" s="33">
        <f t="shared" si="70"/>
        <v>5959710.3967196755</v>
      </c>
      <c r="L226" s="33">
        <f t="shared" si="71"/>
        <v>0</v>
      </c>
      <c r="M226" s="33">
        <f t="shared" si="72"/>
        <v>0</v>
      </c>
      <c r="N226" s="33"/>
      <c r="O226" s="40"/>
      <c r="P226" s="155" t="s">
        <v>539</v>
      </c>
    </row>
    <row r="227" spans="2:16" ht="15" x14ac:dyDescent="0.35">
      <c r="B227" t="str">
        <f t="shared" si="68"/>
        <v>iBoxx MSCI USD High Yield Paris Aligned Capped TCA Index103</v>
      </c>
      <c r="C227" t="s">
        <v>119</v>
      </c>
      <c r="D227" t="s">
        <v>537</v>
      </c>
      <c r="E227" t="s">
        <v>538</v>
      </c>
      <c r="F227">
        <v>103</v>
      </c>
      <c r="G227" t="s">
        <v>535</v>
      </c>
      <c r="H227" s="26">
        <v>48060</v>
      </c>
      <c r="J227" s="33">
        <f t="shared" si="69"/>
        <v>0</v>
      </c>
      <c r="K227" s="33">
        <f t="shared" si="70"/>
        <v>5923777.4667529538</v>
      </c>
      <c r="L227" s="33">
        <f t="shared" si="71"/>
        <v>0</v>
      </c>
      <c r="M227" s="33">
        <f t="shared" si="72"/>
        <v>0</v>
      </c>
      <c r="N227" s="33"/>
      <c r="O227" s="40"/>
      <c r="P227" s="155" t="s">
        <v>539</v>
      </c>
    </row>
    <row r="228" spans="2:16" ht="15" x14ac:dyDescent="0.35">
      <c r="B228" t="str">
        <f t="shared" si="68"/>
        <v>iBoxx MSCI USD High Yield Paris Aligned Capped TCA Index104</v>
      </c>
      <c r="C228" t="s">
        <v>119</v>
      </c>
      <c r="D228" t="s">
        <v>537</v>
      </c>
      <c r="E228" t="s">
        <v>538</v>
      </c>
      <c r="F228">
        <v>104</v>
      </c>
      <c r="G228" t="s">
        <v>535</v>
      </c>
      <c r="H228" s="26">
        <v>48091</v>
      </c>
      <c r="J228" s="33">
        <f t="shared" si="69"/>
        <v>0</v>
      </c>
      <c r="K228" s="33">
        <f t="shared" si="70"/>
        <v>5888061.1874907194</v>
      </c>
      <c r="L228" s="33">
        <f t="shared" si="71"/>
        <v>0</v>
      </c>
      <c r="M228" s="33">
        <f t="shared" si="72"/>
        <v>0</v>
      </c>
      <c r="N228" s="33"/>
      <c r="O228" s="40"/>
      <c r="P228" s="155" t="s">
        <v>539</v>
      </c>
    </row>
    <row r="229" spans="2:16" ht="15" x14ac:dyDescent="0.35">
      <c r="B229" t="str">
        <f t="shared" si="68"/>
        <v>iBoxx MSCI USD High Yield Paris Aligned Capped TCA Index105</v>
      </c>
      <c r="C229" t="s">
        <v>119</v>
      </c>
      <c r="D229" t="s">
        <v>537</v>
      </c>
      <c r="E229" t="s">
        <v>538</v>
      </c>
      <c r="F229">
        <v>105</v>
      </c>
      <c r="G229" t="s">
        <v>535</v>
      </c>
      <c r="H229" s="26">
        <v>48121</v>
      </c>
      <c r="J229" s="33">
        <f t="shared" si="69"/>
        <v>0</v>
      </c>
      <c r="K229" s="33">
        <f t="shared" si="70"/>
        <v>5852560.2526791319</v>
      </c>
      <c r="L229" s="33">
        <f t="shared" si="71"/>
        <v>0</v>
      </c>
      <c r="M229" s="33">
        <f t="shared" si="72"/>
        <v>0</v>
      </c>
      <c r="N229" s="33"/>
      <c r="O229" s="40"/>
      <c r="P229" s="155" t="s">
        <v>539</v>
      </c>
    </row>
    <row r="230" spans="2:16" ht="15" x14ac:dyDescent="0.35">
      <c r="B230" t="str">
        <f t="shared" si="68"/>
        <v>iBoxx MSCI USD High Yield Paris Aligned Capped TCA Index106</v>
      </c>
      <c r="C230" t="s">
        <v>119</v>
      </c>
      <c r="D230" t="s">
        <v>537</v>
      </c>
      <c r="E230" t="s">
        <v>538</v>
      </c>
      <c r="F230">
        <v>106</v>
      </c>
      <c r="G230" t="s">
        <v>535</v>
      </c>
      <c r="H230" s="26">
        <v>48152</v>
      </c>
      <c r="J230" s="33">
        <f t="shared" si="69"/>
        <v>0</v>
      </c>
      <c r="K230" s="33">
        <f t="shared" si="70"/>
        <v>5817273.3639401598</v>
      </c>
      <c r="L230" s="33">
        <f t="shared" si="71"/>
        <v>0</v>
      </c>
      <c r="M230" s="33">
        <f t="shared" si="72"/>
        <v>0</v>
      </c>
      <c r="N230" s="33"/>
      <c r="O230" s="40"/>
      <c r="P230" s="155" t="s">
        <v>539</v>
      </c>
    </row>
    <row r="231" spans="2:16" ht="15" x14ac:dyDescent="0.35">
      <c r="B231" t="str">
        <f t="shared" si="68"/>
        <v>iBoxx MSCI USD High Yield Paris Aligned Capped TCA Index107</v>
      </c>
      <c r="C231" t="s">
        <v>119</v>
      </c>
      <c r="D231" t="s">
        <v>537</v>
      </c>
      <c r="E231" t="s">
        <v>538</v>
      </c>
      <c r="F231">
        <v>107</v>
      </c>
      <c r="G231" t="s">
        <v>535</v>
      </c>
      <c r="H231" s="26">
        <v>48182</v>
      </c>
      <c r="J231" s="33">
        <f t="shared" si="69"/>
        <v>0</v>
      </c>
      <c r="K231" s="33">
        <f t="shared" si="70"/>
        <v>5782199.2307240907</v>
      </c>
      <c r="L231" s="33">
        <f t="shared" si="71"/>
        <v>0</v>
      </c>
      <c r="M231" s="33">
        <f t="shared" si="72"/>
        <v>0</v>
      </c>
      <c r="N231" s="33"/>
      <c r="O231" s="40"/>
      <c r="P231" s="155" t="s">
        <v>539</v>
      </c>
    </row>
    <row r="232" spans="2:16" ht="15" x14ac:dyDescent="0.35">
      <c r="B232" t="str">
        <f t="shared" si="68"/>
        <v>iBoxx MSCI USD High Yield Paris Aligned Capped TCA Index108</v>
      </c>
      <c r="C232" t="s">
        <v>119</v>
      </c>
      <c r="D232" t="s">
        <v>537</v>
      </c>
      <c r="E232" t="s">
        <v>538</v>
      </c>
      <c r="F232">
        <v>108</v>
      </c>
      <c r="G232" t="s">
        <v>535</v>
      </c>
      <c r="H232" s="26">
        <v>48213</v>
      </c>
      <c r="J232" s="33">
        <f t="shared" si="69"/>
        <v>0</v>
      </c>
      <c r="K232" s="33">
        <f t="shared" si="70"/>
        <v>5747336.5702623334</v>
      </c>
      <c r="L232" s="33">
        <f t="shared" si="71"/>
        <v>0</v>
      </c>
      <c r="M232" s="33">
        <f t="shared" si="72"/>
        <v>0</v>
      </c>
      <c r="N232" s="33"/>
      <c r="O232" s="40"/>
      <c r="P232" s="155" t="s">
        <v>539</v>
      </c>
    </row>
    <row r="233" spans="2:16" ht="15" x14ac:dyDescent="0.35">
      <c r="B233" t="str">
        <f t="shared" si="68"/>
        <v>iBoxx MSCI USD High Yield Paris Aligned Capped TCA Index109</v>
      </c>
      <c r="C233" t="s">
        <v>119</v>
      </c>
      <c r="D233" t="s">
        <v>537</v>
      </c>
      <c r="E233" t="s">
        <v>538</v>
      </c>
      <c r="F233">
        <v>109</v>
      </c>
      <c r="G233" t="s">
        <v>535</v>
      </c>
      <c r="H233" s="26">
        <v>48244</v>
      </c>
      <c r="J233" s="33">
        <f t="shared" si="69"/>
        <v>0</v>
      </c>
      <c r="K233" s="33">
        <f t="shared" si="70"/>
        <v>5712684.1075205039</v>
      </c>
      <c r="L233" s="33">
        <f t="shared" si="71"/>
        <v>0</v>
      </c>
      <c r="M233" s="33">
        <f t="shared" si="72"/>
        <v>0</v>
      </c>
      <c r="N233" s="33"/>
      <c r="O233" s="40"/>
      <c r="P233" s="155" t="s">
        <v>539</v>
      </c>
    </row>
    <row r="234" spans="2:16" ht="15" x14ac:dyDescent="0.35">
      <c r="B234" t="str">
        <f t="shared" si="68"/>
        <v>iBoxx MSCI USD High Yield Paris Aligned Capped TCA Index110</v>
      </c>
      <c r="C234" t="s">
        <v>119</v>
      </c>
      <c r="D234" t="s">
        <v>537</v>
      </c>
      <c r="E234" t="s">
        <v>538</v>
      </c>
      <c r="F234">
        <v>110</v>
      </c>
      <c r="G234" t="s">
        <v>535</v>
      </c>
      <c r="H234" s="26">
        <v>48272</v>
      </c>
      <c r="J234" s="33">
        <f t="shared" si="69"/>
        <v>0</v>
      </c>
      <c r="K234" s="33">
        <f t="shared" si="70"/>
        <v>5678240.5751517965</v>
      </c>
      <c r="L234" s="33">
        <f t="shared" si="71"/>
        <v>0</v>
      </c>
      <c r="M234" s="33">
        <f t="shared" si="72"/>
        <v>0</v>
      </c>
      <c r="N234" s="33"/>
      <c r="O234" s="40"/>
      <c r="P234" s="155" t="s">
        <v>539</v>
      </c>
    </row>
    <row r="235" spans="2:16" ht="15" x14ac:dyDescent="0.35">
      <c r="B235" t="str">
        <f t="shared" si="68"/>
        <v>iBoxx MSCI USD High Yield Paris Aligned Capped TCA Index111</v>
      </c>
      <c r="C235" t="s">
        <v>119</v>
      </c>
      <c r="D235" t="s">
        <v>537</v>
      </c>
      <c r="E235" t="s">
        <v>538</v>
      </c>
      <c r="F235">
        <v>111</v>
      </c>
      <c r="G235" t="s">
        <v>535</v>
      </c>
      <c r="H235" s="26">
        <v>48304</v>
      </c>
      <c r="J235" s="33">
        <f t="shared" si="69"/>
        <v>0</v>
      </c>
      <c r="K235" s="33">
        <f t="shared" si="70"/>
        <v>5644004.7134506246</v>
      </c>
      <c r="L235" s="33">
        <f t="shared" si="71"/>
        <v>0</v>
      </c>
      <c r="M235" s="33">
        <f t="shared" si="72"/>
        <v>0</v>
      </c>
      <c r="N235" s="33"/>
      <c r="O235" s="40"/>
      <c r="P235" s="155" t="s">
        <v>539</v>
      </c>
    </row>
    <row r="236" spans="2:16" ht="15" x14ac:dyDescent="0.35">
      <c r="B236" t="str">
        <f t="shared" si="68"/>
        <v>iBoxx MSCI USD High Yield Paris Aligned Capped TCA Index112</v>
      </c>
      <c r="C236" t="s">
        <v>119</v>
      </c>
      <c r="D236" t="s">
        <v>537</v>
      </c>
      <c r="E236" t="s">
        <v>538</v>
      </c>
      <c r="F236">
        <v>112</v>
      </c>
      <c r="G236" t="s">
        <v>535</v>
      </c>
      <c r="H236" s="26">
        <v>48334</v>
      </c>
      <c r="J236" s="33">
        <f t="shared" si="69"/>
        <v>0</v>
      </c>
      <c r="K236" s="33">
        <f t="shared" si="70"/>
        <v>5609975.2703065574</v>
      </c>
      <c r="L236" s="33">
        <f t="shared" si="71"/>
        <v>0</v>
      </c>
      <c r="M236" s="33">
        <f t="shared" si="72"/>
        <v>0</v>
      </c>
      <c r="N236" s="33"/>
      <c r="O236" s="40"/>
      <c r="P236" s="155" t="s">
        <v>539</v>
      </c>
    </row>
    <row r="237" spans="2:16" ht="15" x14ac:dyDescent="0.35">
      <c r="B237" t="str">
        <f t="shared" si="68"/>
        <v>iBoxx MSCI USD High Yield Paris Aligned Capped TCA Index113</v>
      </c>
      <c r="C237" t="s">
        <v>119</v>
      </c>
      <c r="D237" t="s">
        <v>537</v>
      </c>
      <c r="E237" t="s">
        <v>538</v>
      </c>
      <c r="F237">
        <v>113</v>
      </c>
      <c r="G237" t="s">
        <v>535</v>
      </c>
      <c r="H237" s="26">
        <v>48365</v>
      </c>
      <c r="J237" s="33">
        <f t="shared" si="69"/>
        <v>0</v>
      </c>
      <c r="K237" s="33">
        <f t="shared" si="70"/>
        <v>5576151.0011585252</v>
      </c>
      <c r="L237" s="33">
        <f t="shared" si="71"/>
        <v>0</v>
      </c>
      <c r="M237" s="33">
        <f t="shared" si="72"/>
        <v>0</v>
      </c>
      <c r="N237" s="33"/>
      <c r="O237" s="40"/>
      <c r="P237" s="155" t="s">
        <v>539</v>
      </c>
    </row>
    <row r="238" spans="2:16" ht="15" x14ac:dyDescent="0.35">
      <c r="B238" t="str">
        <f t="shared" si="68"/>
        <v>iBoxx MSCI USD High Yield Paris Aligned Capped TCA Index114</v>
      </c>
      <c r="C238" t="s">
        <v>119</v>
      </c>
      <c r="D238" t="s">
        <v>537</v>
      </c>
      <c r="E238" t="s">
        <v>538</v>
      </c>
      <c r="F238">
        <v>114</v>
      </c>
      <c r="G238" t="s">
        <v>535</v>
      </c>
      <c r="H238" s="26">
        <v>48395</v>
      </c>
      <c r="J238" s="33">
        <f t="shared" si="69"/>
        <v>0</v>
      </c>
      <c r="K238" s="33">
        <f t="shared" si="70"/>
        <v>5542530.6689492986</v>
      </c>
      <c r="L238" s="33">
        <f t="shared" si="71"/>
        <v>0</v>
      </c>
      <c r="M238" s="33">
        <f t="shared" si="72"/>
        <v>0</v>
      </c>
      <c r="N238" s="33"/>
      <c r="O238" s="40"/>
      <c r="P238" s="155" t="s">
        <v>539</v>
      </c>
    </row>
    <row r="239" spans="2:16" ht="15" x14ac:dyDescent="0.35">
      <c r="B239" t="str">
        <f t="shared" si="68"/>
        <v>iBoxx MSCI USD High Yield Paris Aligned Capped TCA Index115</v>
      </c>
      <c r="C239" t="s">
        <v>119</v>
      </c>
      <c r="D239" t="s">
        <v>537</v>
      </c>
      <c r="E239" t="s">
        <v>538</v>
      </c>
      <c r="F239">
        <v>115</v>
      </c>
      <c r="G239" t="s">
        <v>535</v>
      </c>
      <c r="H239" s="26">
        <v>48426</v>
      </c>
      <c r="J239" s="33">
        <f t="shared" si="69"/>
        <v>0</v>
      </c>
      <c r="K239" s="33">
        <f t="shared" si="70"/>
        <v>5509113.0440802462</v>
      </c>
      <c r="L239" s="33">
        <f t="shared" si="71"/>
        <v>0</v>
      </c>
      <c r="M239" s="33">
        <f t="shared" si="72"/>
        <v>0</v>
      </c>
      <c r="N239" s="33"/>
      <c r="O239" s="40"/>
      <c r="P239" s="155" t="s">
        <v>539</v>
      </c>
    </row>
    <row r="240" spans="2:16" ht="15" x14ac:dyDescent="0.35">
      <c r="B240" t="str">
        <f t="shared" si="68"/>
        <v>iBoxx MSCI USD High Yield Paris Aligned Capped TCA Index116</v>
      </c>
      <c r="C240" t="s">
        <v>119</v>
      </c>
      <c r="D240" t="s">
        <v>537</v>
      </c>
      <c r="E240" t="s">
        <v>538</v>
      </c>
      <c r="F240">
        <v>116</v>
      </c>
      <c r="G240" t="s">
        <v>535</v>
      </c>
      <c r="H240" s="26">
        <v>48457</v>
      </c>
      <c r="J240" s="33">
        <f t="shared" si="69"/>
        <v>0</v>
      </c>
      <c r="K240" s="33">
        <f t="shared" si="70"/>
        <v>5475896.9043663684</v>
      </c>
      <c r="L240" s="33">
        <f t="shared" si="71"/>
        <v>0</v>
      </c>
      <c r="M240" s="33">
        <f t="shared" si="72"/>
        <v>0</v>
      </c>
      <c r="N240" s="33"/>
      <c r="O240" s="40"/>
      <c r="P240" s="155" t="s">
        <v>539</v>
      </c>
    </row>
    <row r="241" spans="2:16" ht="15" x14ac:dyDescent="0.35">
      <c r="B241" t="str">
        <f t="shared" si="68"/>
        <v>iBoxx MSCI USD High Yield Paris Aligned Capped TCA Index117</v>
      </c>
      <c r="C241" t="s">
        <v>119</v>
      </c>
      <c r="D241" t="s">
        <v>537</v>
      </c>
      <c r="E241" t="s">
        <v>538</v>
      </c>
      <c r="F241">
        <v>117</v>
      </c>
      <c r="G241" t="s">
        <v>535</v>
      </c>
      <c r="H241" s="26">
        <v>48487</v>
      </c>
      <c r="J241" s="33">
        <f t="shared" si="69"/>
        <v>0</v>
      </c>
      <c r="K241" s="33">
        <f t="shared" si="70"/>
        <v>5442881.0349915931</v>
      </c>
      <c r="L241" s="33">
        <f t="shared" si="71"/>
        <v>0</v>
      </c>
      <c r="M241" s="33">
        <f t="shared" si="72"/>
        <v>0</v>
      </c>
      <c r="N241" s="33"/>
      <c r="O241" s="40"/>
      <c r="P241" s="155" t="s">
        <v>539</v>
      </c>
    </row>
    <row r="242" spans="2:16" ht="15" x14ac:dyDescent="0.35">
      <c r="B242" t="str">
        <f t="shared" si="68"/>
        <v>iBoxx MSCI USD High Yield Paris Aligned Capped TCA Index118</v>
      </c>
      <c r="C242" t="s">
        <v>119</v>
      </c>
      <c r="D242" t="s">
        <v>537</v>
      </c>
      <c r="E242" t="s">
        <v>538</v>
      </c>
      <c r="F242">
        <v>118</v>
      </c>
      <c r="G242" t="s">
        <v>535</v>
      </c>
      <c r="H242" s="26">
        <v>48518</v>
      </c>
      <c r="J242" s="33">
        <f t="shared" si="69"/>
        <v>0</v>
      </c>
      <c r="K242" s="33">
        <f t="shared" si="70"/>
        <v>5410064.2284643492</v>
      </c>
      <c r="L242" s="33">
        <f t="shared" si="71"/>
        <v>0</v>
      </c>
      <c r="M242" s="33">
        <f t="shared" si="72"/>
        <v>0</v>
      </c>
      <c r="N242" s="33"/>
      <c r="O242" s="40"/>
      <c r="P242" s="155" t="s">
        <v>539</v>
      </c>
    </row>
    <row r="243" spans="2:16" ht="15" x14ac:dyDescent="0.35">
      <c r="B243" t="str">
        <f t="shared" si="68"/>
        <v>iBoxx MSCI USD High Yield Paris Aligned Capped TCA Index119</v>
      </c>
      <c r="C243" t="s">
        <v>119</v>
      </c>
      <c r="D243" t="s">
        <v>537</v>
      </c>
      <c r="E243" t="s">
        <v>538</v>
      </c>
      <c r="F243">
        <v>119</v>
      </c>
      <c r="G243" t="s">
        <v>535</v>
      </c>
      <c r="H243" s="26">
        <v>48548</v>
      </c>
      <c r="J243" s="33">
        <f t="shared" si="69"/>
        <v>0</v>
      </c>
      <c r="K243" s="33">
        <f t="shared" si="70"/>
        <v>5377445.284573405</v>
      </c>
      <c r="L243" s="33">
        <f t="shared" si="71"/>
        <v>0</v>
      </c>
      <c r="M243" s="33">
        <f t="shared" si="72"/>
        <v>0</v>
      </c>
      <c r="N243" s="33"/>
      <c r="O243" s="40"/>
      <c r="P243" s="155" t="s">
        <v>539</v>
      </c>
    </row>
    <row r="244" spans="2:16" ht="15" x14ac:dyDescent="0.35">
      <c r="B244" t="str">
        <f t="shared" si="68"/>
        <v>iBoxx MSCI EUR High Yield Paris Aligned Capped TCA Index0</v>
      </c>
      <c r="C244" t="s">
        <v>540</v>
      </c>
      <c r="D244" t="s">
        <v>238</v>
      </c>
      <c r="E244" t="s">
        <v>541</v>
      </c>
      <c r="F244">
        <v>0</v>
      </c>
      <c r="G244" t="s">
        <v>535</v>
      </c>
      <c r="H244" s="26">
        <v>44926</v>
      </c>
      <c r="I244" s="33">
        <v>21775704.909853101</v>
      </c>
      <c r="J244" s="33">
        <f t="shared" si="69"/>
        <v>10887852.45492655</v>
      </c>
      <c r="K244" s="33">
        <f t="shared" si="70"/>
        <v>10887852.45492655</v>
      </c>
      <c r="L244" s="33">
        <f t="shared" si="71"/>
        <v>10887852.45492655</v>
      </c>
      <c r="M244" s="33"/>
      <c r="N244" s="33">
        <v>10887852.4046911</v>
      </c>
      <c r="O244" s="156">
        <v>0.43313364599999998</v>
      </c>
      <c r="P244" s="155" t="s">
        <v>542</v>
      </c>
    </row>
    <row r="245" spans="2:16" ht="15" x14ac:dyDescent="0.35">
      <c r="B245" t="str">
        <f t="shared" ref="B245:B308" si="73">_xlfn.CONCAT(C245,F245)</f>
        <v>iBoxx MSCI EUR High Yield Paris Aligned Capped TCA Index1</v>
      </c>
      <c r="C245" t="s">
        <v>540</v>
      </c>
      <c r="D245" t="s">
        <v>238</v>
      </c>
      <c r="E245" t="s">
        <v>541</v>
      </c>
      <c r="F245">
        <v>1</v>
      </c>
      <c r="G245" t="s">
        <v>535</v>
      </c>
      <c r="H245" s="26">
        <v>44957</v>
      </c>
      <c r="I245" s="33">
        <v>21801512.779816002</v>
      </c>
      <c r="J245" s="33">
        <f t="shared" si="69"/>
        <v>10900756.389908001</v>
      </c>
      <c r="K245" s="33">
        <f t="shared" si="70"/>
        <v>10822206.238297263</v>
      </c>
      <c r="L245" s="33">
        <f t="shared" si="71"/>
        <v>10822206.238297263</v>
      </c>
      <c r="M245" s="33">
        <f t="shared" si="72"/>
        <v>10551651.082339831</v>
      </c>
      <c r="N245" s="33">
        <v>10551651.094853301</v>
      </c>
      <c r="O245" s="156">
        <v>0.44060648299999999</v>
      </c>
      <c r="P245" s="155" t="s">
        <v>542</v>
      </c>
    </row>
    <row r="246" spans="2:16" ht="15" x14ac:dyDescent="0.35">
      <c r="B246" t="str">
        <f t="shared" si="73"/>
        <v>iBoxx MSCI EUR High Yield Paris Aligned Capped TCA Index2</v>
      </c>
      <c r="C246" t="s">
        <v>540</v>
      </c>
      <c r="D246" t="s">
        <v>238</v>
      </c>
      <c r="E246" t="s">
        <v>541</v>
      </c>
      <c r="F246">
        <v>2</v>
      </c>
      <c r="G246" t="s">
        <v>535</v>
      </c>
      <c r="H246" s="26">
        <v>44985</v>
      </c>
      <c r="I246" s="33">
        <v>20443910.096784599</v>
      </c>
      <c r="J246" s="33">
        <f t="shared" si="69"/>
        <v>10221955.0483923</v>
      </c>
      <c r="K246" s="33">
        <f t="shared" si="70"/>
        <v>10756955.822931407</v>
      </c>
      <c r="L246" s="33">
        <f t="shared" si="71"/>
        <v>10221955.0483923</v>
      </c>
      <c r="M246" s="33">
        <f t="shared" si="72"/>
        <v>9966406.172182491</v>
      </c>
      <c r="N246" s="33">
        <v>9966406.0864411201</v>
      </c>
      <c r="O246" s="156">
        <v>0.44072405199999998</v>
      </c>
      <c r="P246" s="155" t="s">
        <v>542</v>
      </c>
    </row>
    <row r="247" spans="2:16" ht="15" x14ac:dyDescent="0.35">
      <c r="B247" t="str">
        <f t="shared" si="73"/>
        <v>iBoxx MSCI EUR High Yield Paris Aligned Capped TCA Index3</v>
      </c>
      <c r="C247" t="s">
        <v>540</v>
      </c>
      <c r="D247" t="s">
        <v>238</v>
      </c>
      <c r="E247" t="s">
        <v>541</v>
      </c>
      <c r="F247">
        <v>3</v>
      </c>
      <c r="G247" t="s">
        <v>535</v>
      </c>
      <c r="H247" s="26">
        <v>45016</v>
      </c>
      <c r="I247" s="33">
        <v>20443116.133044399</v>
      </c>
      <c r="J247" s="33">
        <f t="shared" si="69"/>
        <v>10221558.0665222</v>
      </c>
      <c r="K247" s="33">
        <f t="shared" si="70"/>
        <v>10692098.822421236</v>
      </c>
      <c r="L247" s="33">
        <f t="shared" si="71"/>
        <v>10221558.0665222</v>
      </c>
      <c r="M247" s="33">
        <f t="shared" si="72"/>
        <v>9966019.1148591451</v>
      </c>
      <c r="N247" s="33">
        <v>9966019.1292909104</v>
      </c>
      <c r="O247" s="156">
        <v>0.44550621000000001</v>
      </c>
      <c r="P247" s="155" t="s">
        <v>542</v>
      </c>
    </row>
    <row r="248" spans="2:16" ht="15" x14ac:dyDescent="0.35">
      <c r="B248" t="str">
        <f t="shared" si="73"/>
        <v>iBoxx MSCI EUR High Yield Paris Aligned Capped TCA Index4</v>
      </c>
      <c r="C248" t="s">
        <v>540</v>
      </c>
      <c r="D248" t="s">
        <v>238</v>
      </c>
      <c r="E248" t="s">
        <v>541</v>
      </c>
      <c r="F248">
        <v>4</v>
      </c>
      <c r="G248" t="s">
        <v>535</v>
      </c>
      <c r="H248" s="26">
        <v>45046</v>
      </c>
      <c r="I248" s="33">
        <v>21190281.789198499</v>
      </c>
      <c r="J248" s="33">
        <f t="shared" si="69"/>
        <v>10595140.89459925</v>
      </c>
      <c r="K248" s="33">
        <f t="shared" si="70"/>
        <v>10627632.864747386</v>
      </c>
      <c r="L248" s="33">
        <f t="shared" si="71"/>
        <v>10595140.89459925</v>
      </c>
      <c r="M248" s="33">
        <f t="shared" si="72"/>
        <v>10330262.372234268</v>
      </c>
      <c r="N248" s="33">
        <v>10330262.3106717</v>
      </c>
      <c r="O248" s="156">
        <v>0.44020421199999998</v>
      </c>
      <c r="P248" s="155" t="s">
        <v>542</v>
      </c>
    </row>
    <row r="249" spans="2:16" ht="15" x14ac:dyDescent="0.35">
      <c r="B249" t="str">
        <f t="shared" si="73"/>
        <v>iBoxx MSCI EUR High Yield Paris Aligned Capped TCA Index5</v>
      </c>
      <c r="C249" t="s">
        <v>540</v>
      </c>
      <c r="D249" t="s">
        <v>238</v>
      </c>
      <c r="E249" t="s">
        <v>541</v>
      </c>
      <c r="F249">
        <v>5</v>
      </c>
      <c r="G249" t="s">
        <v>535</v>
      </c>
      <c r="H249" s="26">
        <v>45077</v>
      </c>
      <c r="I249" s="33">
        <v>22497876.096592899</v>
      </c>
      <c r="J249" s="33">
        <f t="shared" si="69"/>
        <v>11248938.04829645</v>
      </c>
      <c r="K249" s="33">
        <f t="shared" si="70"/>
        <v>10563555.592192128</v>
      </c>
      <c r="L249" s="33">
        <f t="shared" si="71"/>
        <v>10563555.592192128</v>
      </c>
      <c r="M249" s="33">
        <f t="shared" si="72"/>
        <v>10299466.702387325</v>
      </c>
      <c r="N249" s="33">
        <v>10299466.6804654</v>
      </c>
      <c r="O249" s="156">
        <v>0.44042388300000002</v>
      </c>
      <c r="P249" s="155" t="s">
        <v>542</v>
      </c>
    </row>
    <row r="250" spans="2:16" ht="15" x14ac:dyDescent="0.35">
      <c r="B250" t="str">
        <f t="shared" si="73"/>
        <v>iBoxx MSCI EUR High Yield Paris Aligned Capped TCA Index6</v>
      </c>
      <c r="C250" t="s">
        <v>540</v>
      </c>
      <c r="D250" t="s">
        <v>238</v>
      </c>
      <c r="E250" t="s">
        <v>541</v>
      </c>
      <c r="F250">
        <v>6</v>
      </c>
      <c r="G250" t="s">
        <v>535</v>
      </c>
      <c r="H250" s="26">
        <v>45107</v>
      </c>
      <c r="I250" s="33">
        <v>22923806.281315301</v>
      </c>
      <c r="J250" s="33">
        <f t="shared" si="69"/>
        <v>11461903.14065765</v>
      </c>
      <c r="K250" s="33">
        <f t="shared" si="70"/>
        <v>10499864.661253145</v>
      </c>
      <c r="L250" s="33">
        <f t="shared" si="71"/>
        <v>10499864.661253145</v>
      </c>
      <c r="M250" s="33">
        <f t="shared" si="72"/>
        <v>10237368.044721816</v>
      </c>
      <c r="N250" s="33">
        <v>10237367.9874126</v>
      </c>
      <c r="O250" s="156">
        <v>0.45022578899999999</v>
      </c>
      <c r="P250" s="155" t="s">
        <v>542</v>
      </c>
    </row>
    <row r="251" spans="2:16" ht="15" x14ac:dyDescent="0.35">
      <c r="B251" t="str">
        <f t="shared" si="73"/>
        <v>iBoxx MSCI EUR High Yield Paris Aligned Capped TCA Index7</v>
      </c>
      <c r="C251" t="s">
        <v>540</v>
      </c>
      <c r="D251" t="s">
        <v>238</v>
      </c>
      <c r="E251" t="s">
        <v>541</v>
      </c>
      <c r="F251">
        <v>7</v>
      </c>
      <c r="G251" t="s">
        <v>535</v>
      </c>
      <c r="H251" s="26">
        <v>45138</v>
      </c>
      <c r="I251" s="33">
        <v>22996873.983699098</v>
      </c>
      <c r="J251" s="33">
        <f t="shared" si="69"/>
        <v>11498436.991849549</v>
      </c>
      <c r="K251" s="33">
        <f t="shared" si="70"/>
        <v>10436557.742557809</v>
      </c>
      <c r="L251" s="33">
        <f t="shared" si="71"/>
        <v>10436557.742557809</v>
      </c>
      <c r="M251" s="33">
        <f t="shared" si="72"/>
        <v>10175643.798993863</v>
      </c>
      <c r="N251" s="33">
        <v>10175643.6960786</v>
      </c>
      <c r="O251" s="156">
        <v>0.44202728000000002</v>
      </c>
      <c r="P251" s="155" t="s">
        <v>542</v>
      </c>
    </row>
    <row r="252" spans="2:16" ht="15" x14ac:dyDescent="0.35">
      <c r="B252" t="str">
        <f t="shared" si="73"/>
        <v>iBoxx MSCI EUR High Yield Paris Aligned Capped TCA Index8</v>
      </c>
      <c r="C252" t="s">
        <v>540</v>
      </c>
      <c r="D252" t="s">
        <v>238</v>
      </c>
      <c r="E252" t="s">
        <v>541</v>
      </c>
      <c r="F252">
        <v>8</v>
      </c>
      <c r="G252" t="s">
        <v>535</v>
      </c>
      <c r="H252" s="26">
        <v>45169</v>
      </c>
      <c r="I252" s="33">
        <v>22789684.800459702</v>
      </c>
      <c r="J252" s="33">
        <f t="shared" si="69"/>
        <v>11394842.400229851</v>
      </c>
      <c r="K252" s="33">
        <f t="shared" si="70"/>
        <v>10373632.520778006</v>
      </c>
      <c r="L252" s="33">
        <f t="shared" si="71"/>
        <v>10373632.520778006</v>
      </c>
      <c r="M252" s="33">
        <f t="shared" si="72"/>
        <v>10114291.707758555</v>
      </c>
      <c r="N252" s="33">
        <v>10114291.6976205</v>
      </c>
      <c r="O252" s="156">
        <v>0.43944939700000002</v>
      </c>
      <c r="P252" s="155" t="s">
        <v>542</v>
      </c>
    </row>
    <row r="253" spans="2:16" ht="15" x14ac:dyDescent="0.35">
      <c r="B253" t="str">
        <f t="shared" si="73"/>
        <v>iBoxx MSCI EUR High Yield Paris Aligned Capped TCA Index9</v>
      </c>
      <c r="C253" t="s">
        <v>540</v>
      </c>
      <c r="D253" t="s">
        <v>238</v>
      </c>
      <c r="E253" t="s">
        <v>541</v>
      </c>
      <c r="F253">
        <v>9</v>
      </c>
      <c r="G253" t="s">
        <v>535</v>
      </c>
      <c r="H253" s="26">
        <v>45199</v>
      </c>
      <c r="I253" s="33">
        <v>22594161.089022499</v>
      </c>
      <c r="J253" s="33">
        <f t="shared" ref="J253:J316" si="74">IF(G253="PA",I253*0.5,IF(G253="CT",I253*0.7,""))</f>
        <v>11297080.544511249</v>
      </c>
      <c r="K253" s="33">
        <f t="shared" si="70"/>
        <v>10311086.694545444</v>
      </c>
      <c r="L253" s="33">
        <f t="shared" si="71"/>
        <v>10311086.694545444</v>
      </c>
      <c r="M253" s="33">
        <f t="shared" si="72"/>
        <v>10053309.527181808</v>
      </c>
      <c r="N253" s="33">
        <v>10053309.501920201</v>
      </c>
      <c r="O253" s="156">
        <v>0.44132342800000002</v>
      </c>
      <c r="P253" s="155" t="s">
        <v>542</v>
      </c>
    </row>
    <row r="254" spans="2:16" ht="15" x14ac:dyDescent="0.35">
      <c r="B254" t="str">
        <f t="shared" si="73"/>
        <v>iBoxx MSCI EUR High Yield Paris Aligned Capped TCA Index10</v>
      </c>
      <c r="C254" t="s">
        <v>540</v>
      </c>
      <c r="D254" t="s">
        <v>238</v>
      </c>
      <c r="E254" t="s">
        <v>541</v>
      </c>
      <c r="F254">
        <v>10</v>
      </c>
      <c r="G254" t="s">
        <v>535</v>
      </c>
      <c r="H254" s="26">
        <v>45230</v>
      </c>
      <c r="I254" s="33">
        <v>21103120.254775099</v>
      </c>
      <c r="J254" s="33">
        <f t="shared" si="74"/>
        <v>10551560.12738755</v>
      </c>
      <c r="K254" s="33">
        <f t="shared" si="70"/>
        <v>10248917.976367487</v>
      </c>
      <c r="L254" s="33">
        <f t="shared" si="71"/>
        <v>10248917.976367487</v>
      </c>
      <c r="M254" s="33">
        <f t="shared" si="72"/>
        <v>9992695.0269582998</v>
      </c>
      <c r="N254" s="33">
        <v>9992695.00154154</v>
      </c>
      <c r="O254" s="156">
        <v>0.43027763699999999</v>
      </c>
      <c r="P254" s="155" t="s">
        <v>542</v>
      </c>
    </row>
    <row r="255" spans="2:16" ht="15" x14ac:dyDescent="0.35">
      <c r="B255" t="str">
        <f t="shared" si="73"/>
        <v>iBoxx MSCI EUR High Yield Paris Aligned Capped TCA Index11</v>
      </c>
      <c r="C255" t="s">
        <v>540</v>
      </c>
      <c r="D255" t="s">
        <v>238</v>
      </c>
      <c r="E255" t="s">
        <v>541</v>
      </c>
      <c r="F255">
        <v>11</v>
      </c>
      <c r="G255" t="s">
        <v>535</v>
      </c>
      <c r="H255" s="26">
        <v>45260</v>
      </c>
      <c r="I255" s="33">
        <v>19066886.556547601</v>
      </c>
      <c r="J255" s="33">
        <f t="shared" si="74"/>
        <v>9533443.2782738004</v>
      </c>
      <c r="K255" s="33">
        <f t="shared" si="70"/>
        <v>10187124.092543501</v>
      </c>
      <c r="L255" s="33">
        <f t="shared" si="71"/>
        <v>9533443.2782738004</v>
      </c>
      <c r="M255" s="33">
        <f t="shared" si="72"/>
        <v>9295107.1963169556</v>
      </c>
      <c r="N255" s="33">
        <v>9295107.05075817</v>
      </c>
      <c r="O255" s="156">
        <v>0.43263395999999998</v>
      </c>
      <c r="P255" s="155" t="s">
        <v>542</v>
      </c>
    </row>
    <row r="256" spans="2:16" ht="15" x14ac:dyDescent="0.35">
      <c r="B256" t="str">
        <f t="shared" si="73"/>
        <v>iBoxx MSCI EUR High Yield Paris Aligned Capped TCA Index12</v>
      </c>
      <c r="C256" t="s">
        <v>540</v>
      </c>
      <c r="D256" t="s">
        <v>238</v>
      </c>
      <c r="E256" t="s">
        <v>541</v>
      </c>
      <c r="F256">
        <v>12</v>
      </c>
      <c r="G256" t="s">
        <v>535</v>
      </c>
      <c r="H256" s="26">
        <v>45291</v>
      </c>
      <c r="I256" s="33">
        <v>18979065.122060198</v>
      </c>
      <c r="J256" s="33">
        <f t="shared" si="74"/>
        <v>9489532.5610300992</v>
      </c>
      <c r="K256" s="33">
        <f t="shared" si="70"/>
        <v>10125702.783081692</v>
      </c>
      <c r="L256" s="33">
        <f t="shared" si="71"/>
        <v>9489532.5610300992</v>
      </c>
      <c r="M256" s="33">
        <f t="shared" si="72"/>
        <v>9252294.2470043469</v>
      </c>
      <c r="N256" s="33">
        <v>9252867.3095457293</v>
      </c>
      <c r="O256" s="156">
        <v>0.43375119499999998</v>
      </c>
      <c r="P256" s="155" t="s">
        <v>542</v>
      </c>
    </row>
    <row r="257" spans="2:16" ht="15" x14ac:dyDescent="0.35">
      <c r="B257" t="str">
        <f t="shared" si="73"/>
        <v>iBoxx MSCI EUR High Yield Paris Aligned Capped TCA Index13</v>
      </c>
      <c r="C257" t="s">
        <v>540</v>
      </c>
      <c r="D257" t="s">
        <v>238</v>
      </c>
      <c r="E257" t="s">
        <v>541</v>
      </c>
      <c r="F257">
        <v>13</v>
      </c>
      <c r="G257" t="s">
        <v>535</v>
      </c>
      <c r="H257" s="26">
        <v>45322</v>
      </c>
      <c r="I257" s="33">
        <v>19021851</v>
      </c>
      <c r="J257" s="33">
        <f t="shared" si="74"/>
        <v>9510925.5</v>
      </c>
      <c r="K257" s="33">
        <f t="shared" si="70"/>
        <v>10064651.801616454</v>
      </c>
      <c r="L257" s="33">
        <f t="shared" si="71"/>
        <v>9510925.5</v>
      </c>
      <c r="M257" s="33">
        <f t="shared" si="72"/>
        <v>9273152.3624999989</v>
      </c>
      <c r="N257" s="33">
        <v>9273152</v>
      </c>
      <c r="O257" s="156">
        <v>0.43037457400000001</v>
      </c>
      <c r="P257" s="155" t="s">
        <v>542</v>
      </c>
    </row>
    <row r="258" spans="2:16" ht="15" x14ac:dyDescent="0.35">
      <c r="B258" t="str">
        <f t="shared" si="73"/>
        <v>iBoxx MSCI EUR High Yield Paris Aligned Capped TCA Index14</v>
      </c>
      <c r="C258" t="s">
        <v>540</v>
      </c>
      <c r="D258" t="s">
        <v>238</v>
      </c>
      <c r="E258" t="s">
        <v>541</v>
      </c>
      <c r="F258">
        <v>14</v>
      </c>
      <c r="G258" t="s">
        <v>535</v>
      </c>
      <c r="H258" s="26">
        <v>45350</v>
      </c>
      <c r="I258" s="33">
        <v>25463488</v>
      </c>
      <c r="J258" s="33">
        <f t="shared" si="74"/>
        <v>12731744</v>
      </c>
      <c r="K258" s="33">
        <f t="shared" si="70"/>
        <v>10003968.91532621</v>
      </c>
      <c r="L258" s="33">
        <f t="shared" si="71"/>
        <v>10003968.91532621</v>
      </c>
      <c r="M258" s="33">
        <f t="shared" si="72"/>
        <v>9753869.6924430542</v>
      </c>
      <c r="N258" s="33">
        <v>9753870</v>
      </c>
      <c r="O258" s="156">
        <v>0.44274163799999999</v>
      </c>
      <c r="P258" s="155" t="s">
        <v>542</v>
      </c>
    </row>
    <row r="259" spans="2:16" ht="15" x14ac:dyDescent="0.35">
      <c r="B259" t="str">
        <f t="shared" si="73"/>
        <v>iBoxx MSCI EUR High Yield Paris Aligned Capped TCA Index15</v>
      </c>
      <c r="C259" t="s">
        <v>540</v>
      </c>
      <c r="D259" t="s">
        <v>238</v>
      </c>
      <c r="E259" t="s">
        <v>541</v>
      </c>
      <c r="F259">
        <v>15</v>
      </c>
      <c r="G259" t="s">
        <v>535</v>
      </c>
      <c r="H259" s="26">
        <v>45382</v>
      </c>
      <c r="I259" s="33">
        <v>25841328</v>
      </c>
      <c r="J259" s="33">
        <f t="shared" si="74"/>
        <v>12920664</v>
      </c>
      <c r="K259" s="33">
        <f t="shared" si="70"/>
        <v>9943651.9048517495</v>
      </c>
      <c r="L259" s="33">
        <f t="shared" si="71"/>
        <v>9943651.9048517495</v>
      </c>
      <c r="M259" s="33">
        <f t="shared" si="72"/>
        <v>9695060.6072304547</v>
      </c>
      <c r="N259" s="33">
        <v>9695061</v>
      </c>
      <c r="O259" s="156">
        <v>0.45131580399999999</v>
      </c>
      <c r="P259" s="155" t="s">
        <v>542</v>
      </c>
    </row>
    <row r="260" spans="2:16" ht="15" x14ac:dyDescent="0.35">
      <c r="B260" t="str">
        <f t="shared" si="73"/>
        <v>iBoxx MSCI EUR High Yield Paris Aligned Capped TCA Index16</v>
      </c>
      <c r="C260" t="s">
        <v>540</v>
      </c>
      <c r="D260" t="s">
        <v>238</v>
      </c>
      <c r="E260" t="s">
        <v>541</v>
      </c>
      <c r="F260">
        <v>16</v>
      </c>
      <c r="G260" t="s">
        <v>535</v>
      </c>
      <c r="H260" s="26">
        <v>45412</v>
      </c>
      <c r="I260" s="33">
        <v>25660460.293010499</v>
      </c>
      <c r="J260" s="33">
        <f t="shared" si="74"/>
        <v>12830230.14650525</v>
      </c>
      <c r="K260" s="33">
        <f t="shared" ref="K260:K323" si="75">VLOOKUP(C260,$C:$K,8,FALSE)*0.93^(F260/12)</f>
        <v>9883698.5642150696</v>
      </c>
      <c r="L260" s="33">
        <f t="shared" si="71"/>
        <v>9883698.5642150696</v>
      </c>
      <c r="M260" s="33">
        <f t="shared" si="72"/>
        <v>9636606.1001096927</v>
      </c>
      <c r="N260" s="33">
        <v>9636606.0773272496</v>
      </c>
      <c r="O260" s="156">
        <v>0.45848734099999999</v>
      </c>
      <c r="P260" s="155" t="s">
        <v>542</v>
      </c>
    </row>
    <row r="261" spans="2:16" ht="15" x14ac:dyDescent="0.35">
      <c r="B261" t="str">
        <f t="shared" si="73"/>
        <v>iBoxx MSCI EUR High Yield Paris Aligned Capped TCA Index17</v>
      </c>
      <c r="C261" t="s">
        <v>540</v>
      </c>
      <c r="D261" t="s">
        <v>238</v>
      </c>
      <c r="E261" t="s">
        <v>541</v>
      </c>
      <c r="F261">
        <v>17</v>
      </c>
      <c r="G261" t="s">
        <v>535</v>
      </c>
      <c r="H261" s="26">
        <v>45443</v>
      </c>
      <c r="I261" s="33">
        <v>24455428</v>
      </c>
      <c r="J261" s="33">
        <f t="shared" si="74"/>
        <v>12227714</v>
      </c>
      <c r="K261" s="33">
        <f t="shared" si="75"/>
        <v>9824106.7007386796</v>
      </c>
      <c r="L261" s="33">
        <f t="shared" ref="L261:L324" si="76">MIN(J261,K261)</f>
        <v>9824106.7007386796</v>
      </c>
      <c r="M261" s="33">
        <f t="shared" ref="M261:M324" si="77">L261*0.975</f>
        <v>9578504.0332202129</v>
      </c>
      <c r="N261" s="33">
        <v>9578504</v>
      </c>
      <c r="O261" s="156">
        <v>0.46515667300000002</v>
      </c>
      <c r="P261" s="155" t="s">
        <v>542</v>
      </c>
    </row>
    <row r="262" spans="2:16" ht="15" x14ac:dyDescent="0.35">
      <c r="B262" t="str">
        <f t="shared" si="73"/>
        <v>iBoxx MSCI EUR High Yield Paris Aligned Capped TCA Index18</v>
      </c>
      <c r="C262" t="s">
        <v>540</v>
      </c>
      <c r="D262" t="s">
        <v>238</v>
      </c>
      <c r="E262" t="s">
        <v>541</v>
      </c>
      <c r="F262">
        <v>18</v>
      </c>
      <c r="G262" t="s">
        <v>535</v>
      </c>
      <c r="H262" s="26">
        <v>45473</v>
      </c>
      <c r="I262" s="33">
        <v>24016153</v>
      </c>
      <c r="J262" s="33">
        <f t="shared" si="74"/>
        <v>12008076.5</v>
      </c>
      <c r="K262" s="33">
        <f t="shared" si="75"/>
        <v>9764874.1349654254</v>
      </c>
      <c r="L262" s="33">
        <f t="shared" si="76"/>
        <v>9764874.1349654254</v>
      </c>
      <c r="M262" s="33">
        <f t="shared" si="77"/>
        <v>9520752.2815912887</v>
      </c>
      <c r="N262" s="33">
        <v>9520752</v>
      </c>
      <c r="O262" s="156">
        <v>0.45701204600000001</v>
      </c>
      <c r="P262" s="155" t="s">
        <v>542</v>
      </c>
    </row>
    <row r="263" spans="2:16" ht="15" x14ac:dyDescent="0.35">
      <c r="B263" t="str">
        <f t="shared" si="73"/>
        <v>iBoxx MSCI EUR High Yield Paris Aligned Capped TCA Index19</v>
      </c>
      <c r="C263" t="s">
        <v>540</v>
      </c>
      <c r="D263" t="s">
        <v>238</v>
      </c>
      <c r="E263" t="s">
        <v>541</v>
      </c>
      <c r="F263">
        <v>19</v>
      </c>
      <c r="G263" t="s">
        <v>535</v>
      </c>
      <c r="H263" s="26">
        <v>45504</v>
      </c>
      <c r="I263" s="33">
        <v>25222410.3673779</v>
      </c>
      <c r="J263" s="33">
        <f t="shared" si="74"/>
        <v>12611205.18368895</v>
      </c>
      <c r="K263" s="33">
        <f t="shared" si="75"/>
        <v>9705998.7005787622</v>
      </c>
      <c r="L263" s="33">
        <f t="shared" si="76"/>
        <v>9705998.7005787622</v>
      </c>
      <c r="M263" s="33">
        <f t="shared" si="77"/>
        <v>9463348.7330642939</v>
      </c>
      <c r="N263" s="33">
        <v>9463349</v>
      </c>
      <c r="O263" s="156">
        <v>0.46753692299999999</v>
      </c>
      <c r="P263" s="155" t="s">
        <v>542</v>
      </c>
    </row>
    <row r="264" spans="2:16" ht="15" x14ac:dyDescent="0.35">
      <c r="B264" t="str">
        <f t="shared" si="73"/>
        <v>iBoxx MSCI EUR High Yield Paris Aligned Capped TCA Index20</v>
      </c>
      <c r="C264" t="s">
        <v>540</v>
      </c>
      <c r="D264" t="s">
        <v>238</v>
      </c>
      <c r="E264" t="s">
        <v>541</v>
      </c>
      <c r="F264">
        <v>20</v>
      </c>
      <c r="G264" t="s">
        <v>535</v>
      </c>
      <c r="H264" s="26">
        <v>45535</v>
      </c>
      <c r="I264" s="33">
        <v>25561377</v>
      </c>
      <c r="J264" s="33">
        <f t="shared" si="74"/>
        <v>12780688.5</v>
      </c>
      <c r="K264" s="33">
        <f t="shared" si="75"/>
        <v>9647478.2443235461</v>
      </c>
      <c r="L264" s="33">
        <f t="shared" si="76"/>
        <v>9647478.2443235461</v>
      </c>
      <c r="M264" s="33">
        <f t="shared" si="77"/>
        <v>9406291.2882154565</v>
      </c>
      <c r="N264" s="33">
        <v>9406291</v>
      </c>
      <c r="O264" s="156">
        <v>0.46944175999999999</v>
      </c>
      <c r="P264" s="155" t="s">
        <v>542</v>
      </c>
    </row>
    <row r="265" spans="2:16" ht="15" x14ac:dyDescent="0.35">
      <c r="B265" t="str">
        <f t="shared" si="73"/>
        <v>iBoxx MSCI EUR High Yield Paris Aligned Capped TCA Index21</v>
      </c>
      <c r="C265" t="s">
        <v>540</v>
      </c>
      <c r="D265" t="s">
        <v>238</v>
      </c>
      <c r="E265" t="s">
        <v>541</v>
      </c>
      <c r="F265">
        <v>21</v>
      </c>
      <c r="G265" t="s">
        <v>535</v>
      </c>
      <c r="H265" s="26">
        <v>45565</v>
      </c>
      <c r="I265" s="33">
        <v>26993902.459092502</v>
      </c>
      <c r="J265" s="33">
        <f t="shared" si="74"/>
        <v>13496951.229546251</v>
      </c>
      <c r="K265" s="33">
        <f t="shared" si="75"/>
        <v>9589310.6259272639</v>
      </c>
      <c r="L265" s="33">
        <f t="shared" si="76"/>
        <v>9589310.6259272639</v>
      </c>
      <c r="M265" s="33">
        <f t="shared" si="77"/>
        <v>9349577.8602790814</v>
      </c>
      <c r="N265" s="33">
        <v>9349577.7642936502</v>
      </c>
      <c r="O265" s="156">
        <v>0.48012903400000001</v>
      </c>
      <c r="P265" s="155" t="s">
        <v>542</v>
      </c>
    </row>
    <row r="266" spans="2:16" ht="15" x14ac:dyDescent="0.35">
      <c r="B266" t="str">
        <f t="shared" si="73"/>
        <v>iBoxx MSCI EUR High Yield Paris Aligned Capped TCA Index22</v>
      </c>
      <c r="C266" t="s">
        <v>540</v>
      </c>
      <c r="D266" t="s">
        <v>238</v>
      </c>
      <c r="E266" t="s">
        <v>541</v>
      </c>
      <c r="F266">
        <v>22</v>
      </c>
      <c r="G266" t="s">
        <v>535</v>
      </c>
      <c r="H266" s="26">
        <v>45596</v>
      </c>
      <c r="I266" s="33">
        <v>25820269.499088898</v>
      </c>
      <c r="J266" s="33">
        <f>IF(G266="PA",I266*0.5,IF(G266="CT",I266*0.7,""))</f>
        <v>12910134.749544449</v>
      </c>
      <c r="K266" s="33">
        <f t="shared" si="75"/>
        <v>9531493.7180217635</v>
      </c>
      <c r="L266" s="33">
        <f t="shared" si="76"/>
        <v>9531493.7180217635</v>
      </c>
      <c r="M266" s="33">
        <f t="shared" si="77"/>
        <v>9293206.3750712201</v>
      </c>
      <c r="N266" s="33">
        <v>9293206.3117767796</v>
      </c>
      <c r="O266" s="156">
        <v>0.48628284799999999</v>
      </c>
      <c r="P266" s="155" t="s">
        <v>542</v>
      </c>
    </row>
    <row r="267" spans="2:16" ht="15" x14ac:dyDescent="0.35">
      <c r="B267" t="str">
        <f t="shared" si="73"/>
        <v>iBoxx MSCI EUR High Yield Paris Aligned Capped TCA Index23</v>
      </c>
      <c r="C267" t="s">
        <v>540</v>
      </c>
      <c r="D267" t="s">
        <v>238</v>
      </c>
      <c r="E267" t="s">
        <v>541</v>
      </c>
      <c r="F267">
        <v>23</v>
      </c>
      <c r="G267" t="s">
        <v>535</v>
      </c>
      <c r="H267" s="26">
        <v>45626</v>
      </c>
      <c r="I267" s="33">
        <v>25527196.901182</v>
      </c>
      <c r="J267" s="33">
        <f t="shared" si="74"/>
        <v>12763598.450591</v>
      </c>
      <c r="K267" s="33">
        <f t="shared" si="75"/>
        <v>9474025.4060654566</v>
      </c>
      <c r="L267" s="33">
        <f t="shared" si="76"/>
        <v>9474025.4060654566</v>
      </c>
      <c r="M267" s="33">
        <f t="shared" si="77"/>
        <v>9237174.7709138207</v>
      </c>
      <c r="N267" s="33">
        <v>9237175</v>
      </c>
      <c r="O267" s="156">
        <v>0.49273143200000002</v>
      </c>
      <c r="P267" s="155" t="s">
        <v>542</v>
      </c>
    </row>
    <row r="268" spans="2:16" ht="15" x14ac:dyDescent="0.35">
      <c r="B268" t="str">
        <f t="shared" si="73"/>
        <v>iBoxx MSCI EUR High Yield Paris Aligned Capped TCA Index24</v>
      </c>
      <c r="C268" t="s">
        <v>540</v>
      </c>
      <c r="D268" t="s">
        <v>238</v>
      </c>
      <c r="E268" t="s">
        <v>541</v>
      </c>
      <c r="F268">
        <v>24</v>
      </c>
      <c r="G268" t="s">
        <v>535</v>
      </c>
      <c r="H268" s="26">
        <v>45657</v>
      </c>
      <c r="J268" s="33">
        <f t="shared" si="74"/>
        <v>0</v>
      </c>
      <c r="K268" s="33">
        <f t="shared" si="75"/>
        <v>9416903.5882659741</v>
      </c>
      <c r="L268">
        <f t="shared" si="76"/>
        <v>0</v>
      </c>
      <c r="M268">
        <f t="shared" si="77"/>
        <v>0</v>
      </c>
      <c r="O268" s="40"/>
      <c r="P268" s="155" t="s">
        <v>542</v>
      </c>
    </row>
    <row r="269" spans="2:16" ht="15" x14ac:dyDescent="0.35">
      <c r="B269" t="str">
        <f t="shared" si="73"/>
        <v>iBoxx MSCI EUR High Yield Paris Aligned Capped TCA Index25</v>
      </c>
      <c r="C269" t="s">
        <v>540</v>
      </c>
      <c r="D269" t="s">
        <v>238</v>
      </c>
      <c r="E269" t="s">
        <v>541</v>
      </c>
      <c r="F269">
        <v>25</v>
      </c>
      <c r="G269" t="s">
        <v>535</v>
      </c>
      <c r="H269" s="26">
        <v>45688</v>
      </c>
      <c r="J269" s="33">
        <f t="shared" si="74"/>
        <v>0</v>
      </c>
      <c r="K269" s="33">
        <f t="shared" si="75"/>
        <v>9360126.1755033024</v>
      </c>
      <c r="L269">
        <f t="shared" si="76"/>
        <v>0</v>
      </c>
      <c r="M269">
        <f t="shared" si="77"/>
        <v>0</v>
      </c>
      <c r="O269" s="40"/>
      <c r="P269" s="155" t="s">
        <v>542</v>
      </c>
    </row>
    <row r="270" spans="2:16" ht="15" x14ac:dyDescent="0.35">
      <c r="B270" t="str">
        <f t="shared" si="73"/>
        <v>iBoxx MSCI EUR High Yield Paris Aligned Capped TCA Index26</v>
      </c>
      <c r="C270" t="s">
        <v>540</v>
      </c>
      <c r="D270" t="s">
        <v>238</v>
      </c>
      <c r="E270" t="s">
        <v>541</v>
      </c>
      <c r="F270">
        <v>26</v>
      </c>
      <c r="G270" t="s">
        <v>535</v>
      </c>
      <c r="H270" s="26">
        <v>45716</v>
      </c>
      <c r="J270" s="33">
        <f t="shared" si="74"/>
        <v>0</v>
      </c>
      <c r="K270" s="33">
        <f t="shared" si="75"/>
        <v>9303691.0912533756</v>
      </c>
      <c r="L270">
        <f t="shared" si="76"/>
        <v>0</v>
      </c>
      <c r="M270">
        <f t="shared" si="77"/>
        <v>0</v>
      </c>
      <c r="O270" s="40"/>
      <c r="P270" s="155" t="s">
        <v>542</v>
      </c>
    </row>
    <row r="271" spans="2:16" ht="15" x14ac:dyDescent="0.35">
      <c r="B271" t="str">
        <f t="shared" si="73"/>
        <v>iBoxx MSCI EUR High Yield Paris Aligned Capped TCA Index27</v>
      </c>
      <c r="C271" t="s">
        <v>540</v>
      </c>
      <c r="D271" t="s">
        <v>238</v>
      </c>
      <c r="E271" t="s">
        <v>541</v>
      </c>
      <c r="F271">
        <v>27</v>
      </c>
      <c r="G271" t="s">
        <v>535</v>
      </c>
      <c r="H271" s="26">
        <v>45747</v>
      </c>
      <c r="J271" s="33">
        <f t="shared" si="74"/>
        <v>0</v>
      </c>
      <c r="K271" s="33">
        <f t="shared" si="75"/>
        <v>9247596.2715121284</v>
      </c>
      <c r="L271">
        <f t="shared" si="76"/>
        <v>0</v>
      </c>
      <c r="M271">
        <f t="shared" si="77"/>
        <v>0</v>
      </c>
      <c r="O271" s="40"/>
      <c r="P271" s="155" t="s">
        <v>542</v>
      </c>
    </row>
    <row r="272" spans="2:16" ht="15" x14ac:dyDescent="0.35">
      <c r="B272" t="str">
        <f t="shared" si="73"/>
        <v>iBoxx MSCI EUR High Yield Paris Aligned Capped TCA Index28</v>
      </c>
      <c r="C272" t="s">
        <v>540</v>
      </c>
      <c r="D272" t="s">
        <v>238</v>
      </c>
      <c r="E272" t="s">
        <v>541</v>
      </c>
      <c r="F272">
        <v>28</v>
      </c>
      <c r="G272" t="s">
        <v>535</v>
      </c>
      <c r="H272" s="26">
        <v>45777</v>
      </c>
      <c r="J272" s="33">
        <f t="shared" si="74"/>
        <v>0</v>
      </c>
      <c r="K272" s="33">
        <f t="shared" si="75"/>
        <v>9191839.6647200156</v>
      </c>
      <c r="L272">
        <f t="shared" si="76"/>
        <v>0</v>
      </c>
      <c r="M272">
        <f t="shared" si="77"/>
        <v>0</v>
      </c>
      <c r="O272" s="40"/>
      <c r="P272" s="155" t="s">
        <v>542</v>
      </c>
    </row>
    <row r="273" spans="2:16" ht="15" x14ac:dyDescent="0.35">
      <c r="B273" t="str">
        <f t="shared" si="73"/>
        <v>iBoxx MSCI EUR High Yield Paris Aligned Capped TCA Index29</v>
      </c>
      <c r="C273" t="s">
        <v>540</v>
      </c>
      <c r="D273" t="s">
        <v>238</v>
      </c>
      <c r="E273" t="s">
        <v>541</v>
      </c>
      <c r="F273">
        <v>29</v>
      </c>
      <c r="G273" t="s">
        <v>535</v>
      </c>
      <c r="H273" s="26">
        <v>45808</v>
      </c>
      <c r="J273" s="33">
        <f t="shared" si="74"/>
        <v>0</v>
      </c>
      <c r="K273" s="33">
        <f t="shared" si="75"/>
        <v>9136419.2316869721</v>
      </c>
      <c r="L273">
        <f t="shared" si="76"/>
        <v>0</v>
      </c>
      <c r="M273">
        <f t="shared" si="77"/>
        <v>0</v>
      </c>
      <c r="O273" s="40"/>
      <c r="P273" s="155" t="s">
        <v>542</v>
      </c>
    </row>
    <row r="274" spans="2:16" ht="15" x14ac:dyDescent="0.35">
      <c r="B274" t="str">
        <f t="shared" si="73"/>
        <v>iBoxx MSCI EUR High Yield Paris Aligned Capped TCA Index30</v>
      </c>
      <c r="C274" t="s">
        <v>540</v>
      </c>
      <c r="D274" t="s">
        <v>238</v>
      </c>
      <c r="E274" t="s">
        <v>541</v>
      </c>
      <c r="F274">
        <v>30</v>
      </c>
      <c r="G274" t="s">
        <v>535</v>
      </c>
      <c r="H274" s="26">
        <v>45838</v>
      </c>
      <c r="J274" s="33">
        <f t="shared" si="74"/>
        <v>0</v>
      </c>
      <c r="K274" s="33">
        <f t="shared" si="75"/>
        <v>9081332.9455178455</v>
      </c>
      <c r="L274">
        <f t="shared" si="76"/>
        <v>0</v>
      </c>
      <c r="M274">
        <f t="shared" si="77"/>
        <v>0</v>
      </c>
      <c r="O274" s="40"/>
      <c r="P274" s="155" t="s">
        <v>542</v>
      </c>
    </row>
    <row r="275" spans="2:16" ht="15" x14ac:dyDescent="0.35">
      <c r="B275" t="str">
        <f t="shared" si="73"/>
        <v>iBoxx MSCI EUR High Yield Paris Aligned Capped TCA Index31</v>
      </c>
      <c r="C275" t="s">
        <v>540</v>
      </c>
      <c r="D275" t="s">
        <v>238</v>
      </c>
      <c r="E275" t="s">
        <v>541</v>
      </c>
      <c r="F275">
        <v>31</v>
      </c>
      <c r="G275" t="s">
        <v>535</v>
      </c>
      <c r="H275" s="26">
        <v>45869</v>
      </c>
      <c r="J275" s="33">
        <f t="shared" si="74"/>
        <v>0</v>
      </c>
      <c r="K275" s="33">
        <f>VLOOKUP(C275,$C:$K,8,FALSE)*0.93^(F275/12)</f>
        <v>9026578.7915382516</v>
      </c>
      <c r="L275">
        <f t="shared" si="76"/>
        <v>0</v>
      </c>
      <c r="M275">
        <f t="shared" si="77"/>
        <v>0</v>
      </c>
      <c r="O275" s="40"/>
      <c r="P275" s="155" t="s">
        <v>542</v>
      </c>
    </row>
    <row r="276" spans="2:16" ht="15" x14ac:dyDescent="0.35">
      <c r="B276" t="str">
        <f t="shared" si="73"/>
        <v>iBoxx MSCI EUR High Yield Paris Aligned Capped TCA Index32</v>
      </c>
      <c r="C276" t="s">
        <v>540</v>
      </c>
      <c r="D276" t="s">
        <v>238</v>
      </c>
      <c r="E276" t="s">
        <v>541</v>
      </c>
      <c r="F276">
        <v>32</v>
      </c>
      <c r="G276" t="s">
        <v>535</v>
      </c>
      <c r="H276" s="26">
        <v>45900</v>
      </c>
      <c r="J276" s="33">
        <f t="shared" si="74"/>
        <v>0</v>
      </c>
      <c r="K276" s="33">
        <f t="shared" si="75"/>
        <v>8972154.7672208995</v>
      </c>
      <c r="L276">
        <f t="shared" si="76"/>
        <v>0</v>
      </c>
      <c r="M276">
        <f t="shared" si="77"/>
        <v>0</v>
      </c>
      <c r="O276" s="40"/>
      <c r="P276" s="155" t="s">
        <v>542</v>
      </c>
    </row>
    <row r="277" spans="2:16" ht="15" x14ac:dyDescent="0.35">
      <c r="B277" t="str">
        <f t="shared" si="73"/>
        <v>iBoxx MSCI EUR High Yield Paris Aligned Capped TCA Index33</v>
      </c>
      <c r="C277" t="s">
        <v>540</v>
      </c>
      <c r="D277" t="s">
        <v>238</v>
      </c>
      <c r="E277" t="s">
        <v>541</v>
      </c>
      <c r="F277">
        <v>33</v>
      </c>
      <c r="G277" t="s">
        <v>535</v>
      </c>
      <c r="H277" s="26">
        <v>45930</v>
      </c>
      <c r="J277" s="33">
        <f t="shared" si="74"/>
        <v>0</v>
      </c>
      <c r="K277" s="33">
        <f t="shared" si="75"/>
        <v>8918058.8821123559</v>
      </c>
      <c r="L277">
        <f t="shared" si="76"/>
        <v>0</v>
      </c>
      <c r="M277">
        <f t="shared" si="77"/>
        <v>0</v>
      </c>
      <c r="O277" s="40"/>
      <c r="P277" s="155" t="s">
        <v>542</v>
      </c>
    </row>
    <row r="278" spans="2:16" ht="15" x14ac:dyDescent="0.35">
      <c r="B278" t="str">
        <f t="shared" si="73"/>
        <v>iBoxx MSCI EUR High Yield Paris Aligned Capped TCA Index34</v>
      </c>
      <c r="C278" t="s">
        <v>540</v>
      </c>
      <c r="D278" t="s">
        <v>238</v>
      </c>
      <c r="E278" t="s">
        <v>541</v>
      </c>
      <c r="F278">
        <v>34</v>
      </c>
      <c r="G278" t="s">
        <v>535</v>
      </c>
      <c r="H278" s="26">
        <v>45961</v>
      </c>
      <c r="J278" s="33">
        <f t="shared" si="74"/>
        <v>0</v>
      </c>
      <c r="K278" s="33">
        <f t="shared" si="75"/>
        <v>8864289.1577602401</v>
      </c>
      <c r="L278">
        <f t="shared" si="76"/>
        <v>0</v>
      </c>
      <c r="M278">
        <f t="shared" si="77"/>
        <v>0</v>
      </c>
      <c r="O278" s="40"/>
      <c r="P278" s="155" t="s">
        <v>542</v>
      </c>
    </row>
    <row r="279" spans="2:16" ht="15" x14ac:dyDescent="0.35">
      <c r="B279" t="str">
        <f t="shared" si="73"/>
        <v>iBoxx MSCI EUR High Yield Paris Aligned Capped TCA Index35</v>
      </c>
      <c r="C279" t="s">
        <v>540</v>
      </c>
      <c r="D279" t="s">
        <v>238</v>
      </c>
      <c r="E279" t="s">
        <v>541</v>
      </c>
      <c r="F279">
        <v>35</v>
      </c>
      <c r="G279" t="s">
        <v>535</v>
      </c>
      <c r="H279" s="26">
        <v>45991</v>
      </c>
      <c r="J279" s="33">
        <f t="shared" si="74"/>
        <v>0</v>
      </c>
      <c r="K279" s="33">
        <f t="shared" si="75"/>
        <v>8810843.6276408751</v>
      </c>
      <c r="L279">
        <f t="shared" si="76"/>
        <v>0</v>
      </c>
      <c r="M279">
        <f t="shared" si="77"/>
        <v>0</v>
      </c>
      <c r="O279" s="40"/>
      <c r="P279" s="155" t="s">
        <v>542</v>
      </c>
    </row>
    <row r="280" spans="2:16" ht="15" x14ac:dyDescent="0.35">
      <c r="B280" t="str">
        <f t="shared" si="73"/>
        <v>iBoxx MSCI EUR High Yield Paris Aligned Capped TCA Index36</v>
      </c>
      <c r="C280" t="s">
        <v>540</v>
      </c>
      <c r="D280" t="s">
        <v>238</v>
      </c>
      <c r="E280" t="s">
        <v>541</v>
      </c>
      <c r="F280">
        <v>36</v>
      </c>
      <c r="G280" t="s">
        <v>535</v>
      </c>
      <c r="H280" s="26">
        <v>46022</v>
      </c>
      <c r="J280" s="33">
        <f t="shared" si="74"/>
        <v>0</v>
      </c>
      <c r="K280" s="33">
        <f t="shared" si="75"/>
        <v>8757720.3370873556</v>
      </c>
      <c r="L280">
        <f t="shared" si="76"/>
        <v>0</v>
      </c>
      <c r="M280">
        <f t="shared" si="77"/>
        <v>0</v>
      </c>
      <c r="O280" s="40"/>
      <c r="P280" s="155" t="s">
        <v>542</v>
      </c>
    </row>
    <row r="281" spans="2:16" ht="15" x14ac:dyDescent="0.35">
      <c r="B281" t="str">
        <f t="shared" si="73"/>
        <v>iBoxx MSCI EUR High Yield Paris Aligned Capped TCA Index37</v>
      </c>
      <c r="C281" t="s">
        <v>540</v>
      </c>
      <c r="D281" t="s">
        <v>238</v>
      </c>
      <c r="E281" t="s">
        <v>541</v>
      </c>
      <c r="F281">
        <v>37</v>
      </c>
      <c r="G281" t="s">
        <v>535</v>
      </c>
      <c r="H281" s="26">
        <v>46053</v>
      </c>
      <c r="J281" s="33">
        <f t="shared" si="74"/>
        <v>0</v>
      </c>
      <c r="K281" s="33">
        <f t="shared" si="75"/>
        <v>8704917.3432180714</v>
      </c>
      <c r="L281">
        <f t="shared" si="76"/>
        <v>0</v>
      </c>
      <c r="M281">
        <f t="shared" si="77"/>
        <v>0</v>
      </c>
      <c r="O281" s="40"/>
      <c r="P281" s="155" t="s">
        <v>542</v>
      </c>
    </row>
    <row r="282" spans="2:16" ht="15" x14ac:dyDescent="0.35">
      <c r="B282" t="str">
        <f t="shared" si="73"/>
        <v>iBoxx MSCI EUR High Yield Paris Aligned Capped TCA Index38</v>
      </c>
      <c r="C282" t="s">
        <v>540</v>
      </c>
      <c r="D282" t="s">
        <v>238</v>
      </c>
      <c r="E282" t="s">
        <v>541</v>
      </c>
      <c r="F282">
        <v>38</v>
      </c>
      <c r="G282" t="s">
        <v>535</v>
      </c>
      <c r="H282" s="26">
        <v>46081</v>
      </c>
      <c r="J282" s="33">
        <f t="shared" si="74"/>
        <v>0</v>
      </c>
      <c r="K282" s="33">
        <f t="shared" si="75"/>
        <v>8652432.7148656398</v>
      </c>
      <c r="L282">
        <f t="shared" si="76"/>
        <v>0</v>
      </c>
      <c r="M282">
        <f t="shared" si="77"/>
        <v>0</v>
      </c>
      <c r="O282" s="40"/>
      <c r="P282" s="155" t="s">
        <v>542</v>
      </c>
    </row>
    <row r="283" spans="2:16" ht="15" x14ac:dyDescent="0.35">
      <c r="B283" t="str">
        <f t="shared" si="73"/>
        <v>iBoxx MSCI EUR High Yield Paris Aligned Capped TCA Index39</v>
      </c>
      <c r="C283" t="s">
        <v>540</v>
      </c>
      <c r="D283" t="s">
        <v>238</v>
      </c>
      <c r="E283" t="s">
        <v>541</v>
      </c>
      <c r="F283">
        <v>39</v>
      </c>
      <c r="G283" t="s">
        <v>535</v>
      </c>
      <c r="H283" s="26">
        <v>46112</v>
      </c>
      <c r="J283" s="33">
        <f t="shared" si="74"/>
        <v>0</v>
      </c>
      <c r="K283" s="33">
        <f t="shared" si="75"/>
        <v>8600264.5325062796</v>
      </c>
      <c r="L283">
        <f t="shared" si="76"/>
        <v>0</v>
      </c>
      <c r="M283">
        <f t="shared" si="77"/>
        <v>0</v>
      </c>
      <c r="O283" s="40"/>
      <c r="P283" s="155" t="s">
        <v>542</v>
      </c>
    </row>
    <row r="284" spans="2:16" ht="15" x14ac:dyDescent="0.35">
      <c r="B284" t="str">
        <f t="shared" si="73"/>
        <v>iBoxx MSCI EUR High Yield Paris Aligned Capped TCA Index40</v>
      </c>
      <c r="C284" t="s">
        <v>540</v>
      </c>
      <c r="D284" t="s">
        <v>238</v>
      </c>
      <c r="E284" t="s">
        <v>541</v>
      </c>
      <c r="F284">
        <v>40</v>
      </c>
      <c r="G284" t="s">
        <v>535</v>
      </c>
      <c r="H284" s="26">
        <v>46142</v>
      </c>
      <c r="J284" s="33">
        <f t="shared" si="74"/>
        <v>0</v>
      </c>
      <c r="K284" s="33">
        <f t="shared" si="75"/>
        <v>8548410.8881896138</v>
      </c>
      <c r="L284">
        <f t="shared" si="76"/>
        <v>0</v>
      </c>
      <c r="M284">
        <f t="shared" si="77"/>
        <v>0</v>
      </c>
      <c r="O284" s="40"/>
      <c r="P284" s="155" t="s">
        <v>542</v>
      </c>
    </row>
    <row r="285" spans="2:16" ht="15" x14ac:dyDescent="0.35">
      <c r="B285" t="str">
        <f t="shared" si="73"/>
        <v>iBoxx MSCI EUR High Yield Paris Aligned Capped TCA Index41</v>
      </c>
      <c r="C285" t="s">
        <v>540</v>
      </c>
      <c r="D285" t="s">
        <v>238</v>
      </c>
      <c r="E285" t="s">
        <v>541</v>
      </c>
      <c r="F285">
        <v>41</v>
      </c>
      <c r="G285" t="s">
        <v>535</v>
      </c>
      <c r="H285" s="26">
        <v>46173</v>
      </c>
      <c r="J285" s="33">
        <f t="shared" si="74"/>
        <v>0</v>
      </c>
      <c r="K285" s="33">
        <f t="shared" si="75"/>
        <v>8496869.8854688853</v>
      </c>
      <c r="L285">
        <f t="shared" si="76"/>
        <v>0</v>
      </c>
      <c r="M285">
        <f t="shared" si="77"/>
        <v>0</v>
      </c>
      <c r="O285" s="40"/>
      <c r="P285" s="155" t="s">
        <v>542</v>
      </c>
    </row>
    <row r="286" spans="2:16" ht="15" x14ac:dyDescent="0.35">
      <c r="B286" t="str">
        <f t="shared" si="73"/>
        <v>iBoxx MSCI EUR High Yield Paris Aligned Capped TCA Index42</v>
      </c>
      <c r="C286" t="s">
        <v>540</v>
      </c>
      <c r="D286" t="s">
        <v>238</v>
      </c>
      <c r="E286" t="s">
        <v>541</v>
      </c>
      <c r="F286">
        <v>42</v>
      </c>
      <c r="G286" t="s">
        <v>535</v>
      </c>
      <c r="H286" s="26">
        <v>46203</v>
      </c>
      <c r="J286" s="33">
        <f t="shared" si="74"/>
        <v>0</v>
      </c>
      <c r="K286" s="33">
        <f t="shared" si="75"/>
        <v>8445639.639331596</v>
      </c>
      <c r="L286">
        <f t="shared" si="76"/>
        <v>0</v>
      </c>
      <c r="M286">
        <f t="shared" si="77"/>
        <v>0</v>
      </c>
      <c r="O286" s="40"/>
      <c r="P286" s="155" t="s">
        <v>542</v>
      </c>
    </row>
    <row r="287" spans="2:16" ht="15" x14ac:dyDescent="0.35">
      <c r="B287" t="str">
        <f t="shared" si="73"/>
        <v>iBoxx MSCI EUR High Yield Paris Aligned Capped TCA Index43</v>
      </c>
      <c r="C287" t="s">
        <v>540</v>
      </c>
      <c r="D287" t="s">
        <v>238</v>
      </c>
      <c r="E287" t="s">
        <v>541</v>
      </c>
      <c r="F287">
        <v>43</v>
      </c>
      <c r="G287" t="s">
        <v>535</v>
      </c>
      <c r="H287" s="26">
        <v>46234</v>
      </c>
      <c r="J287" s="33">
        <f t="shared" si="74"/>
        <v>0</v>
      </c>
      <c r="K287" s="33">
        <f t="shared" si="75"/>
        <v>8394718.2761305738</v>
      </c>
      <c r="L287">
        <f t="shared" si="76"/>
        <v>0</v>
      </c>
      <c r="M287">
        <f t="shared" si="77"/>
        <v>0</v>
      </c>
      <c r="O287" s="40"/>
      <c r="P287" s="155" t="s">
        <v>542</v>
      </c>
    </row>
    <row r="288" spans="2:16" ht="15" x14ac:dyDescent="0.35">
      <c r="B288" t="str">
        <f t="shared" si="73"/>
        <v>iBoxx MSCI EUR High Yield Paris Aligned Capped TCA Index44</v>
      </c>
      <c r="C288" t="s">
        <v>540</v>
      </c>
      <c r="D288" t="s">
        <v>238</v>
      </c>
      <c r="E288" t="s">
        <v>541</v>
      </c>
      <c r="F288">
        <v>44</v>
      </c>
      <c r="G288" t="s">
        <v>535</v>
      </c>
      <c r="H288" s="26">
        <v>46265</v>
      </c>
      <c r="J288" s="33">
        <f t="shared" si="74"/>
        <v>0</v>
      </c>
      <c r="K288" s="33">
        <f t="shared" si="75"/>
        <v>8344103.9335154369</v>
      </c>
      <c r="L288">
        <f t="shared" si="76"/>
        <v>0</v>
      </c>
      <c r="M288">
        <f t="shared" si="77"/>
        <v>0</v>
      </c>
      <c r="O288" s="40"/>
      <c r="P288" s="155" t="s">
        <v>542</v>
      </c>
    </row>
    <row r="289" spans="2:16" ht="15" x14ac:dyDescent="0.35">
      <c r="B289" t="str">
        <f t="shared" si="73"/>
        <v>iBoxx MSCI EUR High Yield Paris Aligned Capped TCA Index45</v>
      </c>
      <c r="C289" t="s">
        <v>540</v>
      </c>
      <c r="D289" t="s">
        <v>238</v>
      </c>
      <c r="E289" t="s">
        <v>541</v>
      </c>
      <c r="F289">
        <v>45</v>
      </c>
      <c r="G289" t="s">
        <v>535</v>
      </c>
      <c r="H289" s="26">
        <v>46295</v>
      </c>
      <c r="J289" s="33">
        <f t="shared" si="74"/>
        <v>0</v>
      </c>
      <c r="K289" s="33">
        <f t="shared" si="75"/>
        <v>8293794.7603644906</v>
      </c>
      <c r="L289">
        <f t="shared" si="76"/>
        <v>0</v>
      </c>
      <c r="M289">
        <f t="shared" si="77"/>
        <v>0</v>
      </c>
      <c r="O289" s="40"/>
      <c r="P289" s="155" t="s">
        <v>542</v>
      </c>
    </row>
    <row r="290" spans="2:16" ht="15" x14ac:dyDescent="0.35">
      <c r="B290" t="str">
        <f t="shared" si="73"/>
        <v>iBoxx MSCI EUR High Yield Paris Aligned Capped TCA Index46</v>
      </c>
      <c r="C290" t="s">
        <v>540</v>
      </c>
      <c r="D290" t="s">
        <v>238</v>
      </c>
      <c r="E290" t="s">
        <v>541</v>
      </c>
      <c r="F290">
        <v>46</v>
      </c>
      <c r="G290" t="s">
        <v>535</v>
      </c>
      <c r="H290" s="26">
        <v>46326</v>
      </c>
      <c r="J290" s="33">
        <f t="shared" si="74"/>
        <v>0</v>
      </c>
      <c r="K290" s="33">
        <f t="shared" si="75"/>
        <v>8243788.9167170236</v>
      </c>
      <c r="L290">
        <f t="shared" si="76"/>
        <v>0</v>
      </c>
      <c r="M290">
        <f t="shared" si="77"/>
        <v>0</v>
      </c>
      <c r="O290" s="40"/>
      <c r="P290" s="155" t="s">
        <v>542</v>
      </c>
    </row>
    <row r="291" spans="2:16" ht="15" x14ac:dyDescent="0.35">
      <c r="B291" t="str">
        <f t="shared" si="73"/>
        <v>iBoxx MSCI EUR High Yield Paris Aligned Capped TCA Index47</v>
      </c>
      <c r="C291" t="s">
        <v>540</v>
      </c>
      <c r="D291" t="s">
        <v>238</v>
      </c>
      <c r="E291" t="s">
        <v>541</v>
      </c>
      <c r="F291">
        <v>47</v>
      </c>
      <c r="G291" t="s">
        <v>535</v>
      </c>
      <c r="H291" s="26">
        <v>46356</v>
      </c>
      <c r="J291" s="33">
        <f t="shared" si="74"/>
        <v>0</v>
      </c>
      <c r="K291" s="33">
        <f t="shared" si="75"/>
        <v>8194084.5737060141</v>
      </c>
      <c r="L291">
        <f t="shared" si="76"/>
        <v>0</v>
      </c>
      <c r="M291">
        <f t="shared" si="77"/>
        <v>0</v>
      </c>
      <c r="O291" s="40"/>
      <c r="P291" s="155" t="s">
        <v>542</v>
      </c>
    </row>
    <row r="292" spans="2:16" ht="15" x14ac:dyDescent="0.35">
      <c r="B292" t="str">
        <f t="shared" si="73"/>
        <v>iBoxx MSCI EUR High Yield Paris Aligned Capped TCA Index48</v>
      </c>
      <c r="C292" t="s">
        <v>540</v>
      </c>
      <c r="D292" t="s">
        <v>238</v>
      </c>
      <c r="E292" t="s">
        <v>541</v>
      </c>
      <c r="F292">
        <v>48</v>
      </c>
      <c r="G292" t="s">
        <v>535</v>
      </c>
      <c r="H292" s="26">
        <v>46387</v>
      </c>
      <c r="J292" s="33">
        <f t="shared" si="74"/>
        <v>0</v>
      </c>
      <c r="K292" s="33">
        <f t="shared" si="75"/>
        <v>8144679.9134912426</v>
      </c>
      <c r="L292">
        <f t="shared" si="76"/>
        <v>0</v>
      </c>
      <c r="M292">
        <f t="shared" si="77"/>
        <v>0</v>
      </c>
      <c r="O292" s="40"/>
      <c r="P292" s="155" t="s">
        <v>542</v>
      </c>
    </row>
    <row r="293" spans="2:16" ht="15" x14ac:dyDescent="0.35">
      <c r="B293" t="str">
        <f t="shared" si="73"/>
        <v>iBoxx MSCI EUR High Yield Paris Aligned Capped TCA Index49</v>
      </c>
      <c r="C293" t="s">
        <v>540</v>
      </c>
      <c r="D293" t="s">
        <v>238</v>
      </c>
      <c r="E293" t="s">
        <v>541</v>
      </c>
      <c r="F293">
        <v>49</v>
      </c>
      <c r="G293" t="s">
        <v>535</v>
      </c>
      <c r="H293" s="26">
        <v>46418</v>
      </c>
      <c r="J293" s="33">
        <f t="shared" si="74"/>
        <v>0</v>
      </c>
      <c r="K293" s="33">
        <f t="shared" si="75"/>
        <v>8095573.1291928077</v>
      </c>
      <c r="L293">
        <f t="shared" si="76"/>
        <v>0</v>
      </c>
      <c r="M293">
        <f t="shared" si="77"/>
        <v>0</v>
      </c>
      <c r="O293" s="40"/>
      <c r="P293" s="155" t="s">
        <v>542</v>
      </c>
    </row>
    <row r="294" spans="2:16" ht="15" x14ac:dyDescent="0.35">
      <c r="B294" t="str">
        <f t="shared" si="73"/>
        <v>iBoxx MSCI EUR High Yield Paris Aligned Capped TCA Index50</v>
      </c>
      <c r="C294" t="s">
        <v>540</v>
      </c>
      <c r="D294" t="s">
        <v>238</v>
      </c>
      <c r="E294" t="s">
        <v>541</v>
      </c>
      <c r="F294">
        <v>50</v>
      </c>
      <c r="G294" t="s">
        <v>535</v>
      </c>
      <c r="H294" s="26">
        <v>46446</v>
      </c>
      <c r="J294" s="33">
        <f t="shared" si="74"/>
        <v>0</v>
      </c>
      <c r="K294" s="33">
        <f t="shared" si="75"/>
        <v>8046762.4248250443</v>
      </c>
      <c r="L294">
        <f t="shared" si="76"/>
        <v>0</v>
      </c>
      <c r="M294">
        <f t="shared" si="77"/>
        <v>0</v>
      </c>
      <c r="O294" s="40"/>
      <c r="P294" s="155" t="s">
        <v>542</v>
      </c>
    </row>
    <row r="295" spans="2:16" ht="15" x14ac:dyDescent="0.35">
      <c r="B295" t="str">
        <f t="shared" si="73"/>
        <v>iBoxx MSCI EUR High Yield Paris Aligned Capped TCA Index51</v>
      </c>
      <c r="C295" t="s">
        <v>540</v>
      </c>
      <c r="D295" t="s">
        <v>238</v>
      </c>
      <c r="E295" t="s">
        <v>541</v>
      </c>
      <c r="F295">
        <v>51</v>
      </c>
      <c r="G295" t="s">
        <v>535</v>
      </c>
      <c r="H295" s="26">
        <v>46477</v>
      </c>
      <c r="J295" s="33">
        <f t="shared" si="74"/>
        <v>0</v>
      </c>
      <c r="K295" s="33">
        <f t="shared" si="75"/>
        <v>7998246.015230841</v>
      </c>
      <c r="L295">
        <f t="shared" si="76"/>
        <v>0</v>
      </c>
      <c r="M295">
        <f t="shared" si="77"/>
        <v>0</v>
      </c>
      <c r="O295" s="40"/>
      <c r="P295" s="155" t="s">
        <v>542</v>
      </c>
    </row>
    <row r="296" spans="2:16" ht="15" x14ac:dyDescent="0.35">
      <c r="B296" t="str">
        <f t="shared" si="73"/>
        <v>iBoxx MSCI EUR High Yield Paris Aligned Capped TCA Index52</v>
      </c>
      <c r="C296" t="s">
        <v>540</v>
      </c>
      <c r="D296" t="s">
        <v>238</v>
      </c>
      <c r="E296" t="s">
        <v>541</v>
      </c>
      <c r="F296">
        <v>52</v>
      </c>
      <c r="G296" t="s">
        <v>535</v>
      </c>
      <c r="H296" s="26">
        <v>46507</v>
      </c>
      <c r="J296" s="33">
        <f t="shared" si="74"/>
        <v>0</v>
      </c>
      <c r="K296" s="33">
        <f t="shared" si="75"/>
        <v>7950022.1260163421</v>
      </c>
      <c r="L296">
        <f t="shared" si="76"/>
        <v>0</v>
      </c>
      <c r="M296">
        <f t="shared" si="77"/>
        <v>0</v>
      </c>
      <c r="O296" s="40"/>
      <c r="P296" s="155" t="s">
        <v>542</v>
      </c>
    </row>
    <row r="297" spans="2:16" ht="15" x14ac:dyDescent="0.35">
      <c r="B297" t="str">
        <f t="shared" si="73"/>
        <v>iBoxx MSCI EUR High Yield Paris Aligned Capped TCA Index53</v>
      </c>
      <c r="C297" t="s">
        <v>540</v>
      </c>
      <c r="D297" t="s">
        <v>238</v>
      </c>
      <c r="E297" t="s">
        <v>541</v>
      </c>
      <c r="F297">
        <v>53</v>
      </c>
      <c r="G297" t="s">
        <v>535</v>
      </c>
      <c r="H297" s="26">
        <v>46538</v>
      </c>
      <c r="J297" s="33">
        <f t="shared" si="74"/>
        <v>0</v>
      </c>
      <c r="K297" s="33">
        <f t="shared" si="75"/>
        <v>7902088.9934860636</v>
      </c>
      <c r="L297">
        <f t="shared" si="76"/>
        <v>0</v>
      </c>
      <c r="M297">
        <f t="shared" si="77"/>
        <v>0</v>
      </c>
      <c r="O297" s="40"/>
      <c r="P297" s="155" t="s">
        <v>542</v>
      </c>
    </row>
    <row r="298" spans="2:16" ht="15" x14ac:dyDescent="0.35">
      <c r="B298" t="str">
        <f t="shared" si="73"/>
        <v>iBoxx MSCI EUR High Yield Paris Aligned Capped TCA Index54</v>
      </c>
      <c r="C298" t="s">
        <v>540</v>
      </c>
      <c r="D298" t="s">
        <v>238</v>
      </c>
      <c r="E298" t="s">
        <v>541</v>
      </c>
      <c r="F298">
        <v>54</v>
      </c>
      <c r="G298" t="s">
        <v>535</v>
      </c>
      <c r="H298" s="26">
        <v>46568</v>
      </c>
      <c r="J298" s="33">
        <f t="shared" si="74"/>
        <v>0</v>
      </c>
      <c r="K298" s="33">
        <f t="shared" si="75"/>
        <v>7854444.8645783849</v>
      </c>
      <c r="L298">
        <f t="shared" si="76"/>
        <v>0</v>
      </c>
      <c r="M298">
        <f t="shared" si="77"/>
        <v>0</v>
      </c>
      <c r="O298" s="40"/>
      <c r="P298" s="155" t="s">
        <v>542</v>
      </c>
    </row>
    <row r="299" spans="2:16" ht="15" x14ac:dyDescent="0.35">
      <c r="B299" t="str">
        <f t="shared" si="73"/>
        <v>iBoxx MSCI EUR High Yield Paris Aligned Capped TCA Index55</v>
      </c>
      <c r="C299" t="s">
        <v>540</v>
      </c>
      <c r="D299" t="s">
        <v>238</v>
      </c>
      <c r="E299" t="s">
        <v>541</v>
      </c>
      <c r="F299">
        <v>55</v>
      </c>
      <c r="G299" t="s">
        <v>535</v>
      </c>
      <c r="H299" s="26">
        <v>46599</v>
      </c>
      <c r="J299" s="33">
        <f t="shared" si="74"/>
        <v>0</v>
      </c>
      <c r="K299" s="33">
        <f t="shared" si="75"/>
        <v>7807087.9968014341</v>
      </c>
      <c r="L299">
        <f t="shared" si="76"/>
        <v>0</v>
      </c>
      <c r="M299">
        <f t="shared" si="77"/>
        <v>0</v>
      </c>
      <c r="O299" s="40"/>
      <c r="P299" s="155" t="s">
        <v>542</v>
      </c>
    </row>
    <row r="300" spans="2:16" ht="15" x14ac:dyDescent="0.35">
      <c r="B300" t="str">
        <f t="shared" si="73"/>
        <v>iBoxx MSCI EUR High Yield Paris Aligned Capped TCA Index56</v>
      </c>
      <c r="C300" t="s">
        <v>540</v>
      </c>
      <c r="D300" t="s">
        <v>238</v>
      </c>
      <c r="E300" t="s">
        <v>541</v>
      </c>
      <c r="F300">
        <v>56</v>
      </c>
      <c r="G300" t="s">
        <v>535</v>
      </c>
      <c r="H300" s="26">
        <v>46630</v>
      </c>
      <c r="J300" s="33">
        <f t="shared" si="74"/>
        <v>0</v>
      </c>
      <c r="K300" s="33">
        <f t="shared" si="75"/>
        <v>7760016.6581693562</v>
      </c>
      <c r="L300">
        <f t="shared" si="76"/>
        <v>0</v>
      </c>
      <c r="M300">
        <f t="shared" si="77"/>
        <v>0</v>
      </c>
      <c r="O300" s="40"/>
      <c r="P300" s="155" t="s">
        <v>542</v>
      </c>
    </row>
    <row r="301" spans="2:16" ht="15" x14ac:dyDescent="0.35">
      <c r="B301" t="str">
        <f t="shared" si="73"/>
        <v>iBoxx MSCI EUR High Yield Paris Aligned Capped TCA Index57</v>
      </c>
      <c r="C301" t="s">
        <v>540</v>
      </c>
      <c r="D301" t="s">
        <v>238</v>
      </c>
      <c r="E301" t="s">
        <v>541</v>
      </c>
      <c r="F301">
        <v>57</v>
      </c>
      <c r="G301" t="s">
        <v>535</v>
      </c>
      <c r="H301" s="26">
        <v>46660</v>
      </c>
      <c r="J301" s="33">
        <f t="shared" si="74"/>
        <v>0</v>
      </c>
      <c r="K301" s="33">
        <f t="shared" si="75"/>
        <v>7713229.1271389769</v>
      </c>
      <c r="L301">
        <f t="shared" si="76"/>
        <v>0</v>
      </c>
      <c r="M301">
        <f t="shared" si="77"/>
        <v>0</v>
      </c>
      <c r="O301" s="40"/>
      <c r="P301" s="155" t="s">
        <v>542</v>
      </c>
    </row>
    <row r="302" spans="2:16" ht="15" x14ac:dyDescent="0.35">
      <c r="B302" t="str">
        <f t="shared" si="73"/>
        <v>iBoxx MSCI EUR High Yield Paris Aligned Capped TCA Index58</v>
      </c>
      <c r="C302" t="s">
        <v>540</v>
      </c>
      <c r="D302" t="s">
        <v>238</v>
      </c>
      <c r="E302" t="s">
        <v>541</v>
      </c>
      <c r="F302">
        <v>58</v>
      </c>
      <c r="G302" t="s">
        <v>535</v>
      </c>
      <c r="H302" s="26">
        <v>46691</v>
      </c>
      <c r="J302" s="33">
        <f t="shared" si="74"/>
        <v>0</v>
      </c>
      <c r="K302" s="33">
        <f t="shared" si="75"/>
        <v>7666723.6925468324</v>
      </c>
      <c r="L302">
        <f t="shared" si="76"/>
        <v>0</v>
      </c>
      <c r="M302">
        <f t="shared" si="77"/>
        <v>0</v>
      </c>
      <c r="O302" s="40"/>
      <c r="P302" s="155" t="s">
        <v>542</v>
      </c>
    </row>
    <row r="303" spans="2:16" ht="15" x14ac:dyDescent="0.35">
      <c r="B303" t="str">
        <f t="shared" si="73"/>
        <v>iBoxx MSCI EUR High Yield Paris Aligned Capped TCA Index59</v>
      </c>
      <c r="C303" t="s">
        <v>540</v>
      </c>
      <c r="D303" t="s">
        <v>238</v>
      </c>
      <c r="E303" t="s">
        <v>541</v>
      </c>
      <c r="F303">
        <v>59</v>
      </c>
      <c r="G303" t="s">
        <v>535</v>
      </c>
      <c r="H303" s="26">
        <v>46721</v>
      </c>
      <c r="J303" s="33">
        <f t="shared" si="74"/>
        <v>0</v>
      </c>
      <c r="K303" s="33">
        <f t="shared" si="75"/>
        <v>7620498.6535465932</v>
      </c>
      <c r="L303">
        <f t="shared" si="76"/>
        <v>0</v>
      </c>
      <c r="M303">
        <f t="shared" si="77"/>
        <v>0</v>
      </c>
      <c r="O303" s="40"/>
      <c r="P303" s="155" t="s">
        <v>542</v>
      </c>
    </row>
    <row r="304" spans="2:16" ht="15" x14ac:dyDescent="0.35">
      <c r="B304" t="str">
        <f t="shared" si="73"/>
        <v>iBoxx MSCI EUR High Yield Paris Aligned Capped TCA Index60</v>
      </c>
      <c r="C304" t="s">
        <v>540</v>
      </c>
      <c r="D304" t="s">
        <v>238</v>
      </c>
      <c r="E304" t="s">
        <v>541</v>
      </c>
      <c r="F304">
        <v>60</v>
      </c>
      <c r="G304" t="s">
        <v>535</v>
      </c>
      <c r="H304" s="26">
        <v>46752</v>
      </c>
      <c r="J304" s="33">
        <f t="shared" si="74"/>
        <v>0</v>
      </c>
      <c r="K304" s="33">
        <f t="shared" si="75"/>
        <v>7574552.319546856</v>
      </c>
      <c r="L304">
        <f t="shared" si="76"/>
        <v>0</v>
      </c>
      <c r="M304">
        <f t="shared" si="77"/>
        <v>0</v>
      </c>
      <c r="O304" s="40"/>
      <c r="P304" s="155" t="s">
        <v>542</v>
      </c>
    </row>
    <row r="305" spans="2:16" ht="15" x14ac:dyDescent="0.35">
      <c r="B305" t="str">
        <f t="shared" si="73"/>
        <v>iBoxx MSCI EUR High Yield Paris Aligned Capped TCA Index61</v>
      </c>
      <c r="C305" t="s">
        <v>540</v>
      </c>
      <c r="D305" t="s">
        <v>238</v>
      </c>
      <c r="E305" t="s">
        <v>541</v>
      </c>
      <c r="F305">
        <v>61</v>
      </c>
      <c r="G305" t="s">
        <v>535</v>
      </c>
      <c r="H305" s="26">
        <v>46783</v>
      </c>
      <c r="J305" s="33">
        <f t="shared" si="74"/>
        <v>0</v>
      </c>
      <c r="K305" s="33">
        <f t="shared" si="75"/>
        <v>7528883.0101493122</v>
      </c>
      <c r="L305">
        <f t="shared" si="76"/>
        <v>0</v>
      </c>
      <c r="M305">
        <f t="shared" si="77"/>
        <v>0</v>
      </c>
      <c r="O305" s="40"/>
      <c r="P305" s="155" t="s">
        <v>542</v>
      </c>
    </row>
    <row r="306" spans="2:16" ht="15" x14ac:dyDescent="0.35">
      <c r="B306" t="str">
        <f t="shared" si="73"/>
        <v>iBoxx MSCI EUR High Yield Paris Aligned Capped TCA Index62</v>
      </c>
      <c r="C306" t="s">
        <v>540</v>
      </c>
      <c r="D306" t="s">
        <v>238</v>
      </c>
      <c r="E306" t="s">
        <v>541</v>
      </c>
      <c r="F306">
        <v>62</v>
      </c>
      <c r="G306" t="s">
        <v>535</v>
      </c>
      <c r="H306" s="26">
        <v>46811</v>
      </c>
      <c r="J306" s="33">
        <f t="shared" si="74"/>
        <v>0</v>
      </c>
      <c r="K306" s="33">
        <f t="shared" si="75"/>
        <v>7483489.0550872926</v>
      </c>
      <c r="L306">
        <f t="shared" si="76"/>
        <v>0</v>
      </c>
      <c r="M306">
        <f t="shared" si="77"/>
        <v>0</v>
      </c>
      <c r="O306" s="40"/>
      <c r="P306" s="155" t="s">
        <v>542</v>
      </c>
    </row>
    <row r="307" spans="2:16" ht="15" x14ac:dyDescent="0.35">
      <c r="B307" t="str">
        <f t="shared" si="73"/>
        <v>iBoxx MSCI EUR High Yield Paris Aligned Capped TCA Index63</v>
      </c>
      <c r="C307" t="s">
        <v>540</v>
      </c>
      <c r="D307" t="s">
        <v>238</v>
      </c>
      <c r="E307" t="s">
        <v>541</v>
      </c>
      <c r="F307">
        <v>63</v>
      </c>
      <c r="G307" t="s">
        <v>535</v>
      </c>
      <c r="H307" s="26">
        <v>46843</v>
      </c>
      <c r="J307" s="33">
        <f t="shared" si="74"/>
        <v>0</v>
      </c>
      <c r="K307" s="33">
        <f t="shared" si="75"/>
        <v>7438368.7941646818</v>
      </c>
      <c r="L307">
        <f t="shared" si="76"/>
        <v>0</v>
      </c>
      <c r="M307">
        <f t="shared" si="77"/>
        <v>0</v>
      </c>
      <c r="O307" s="40"/>
      <c r="P307" s="155" t="s">
        <v>542</v>
      </c>
    </row>
    <row r="308" spans="2:16" ht="15" x14ac:dyDescent="0.35">
      <c r="B308" t="str">
        <f t="shared" si="73"/>
        <v>iBoxx MSCI EUR High Yield Paris Aligned Capped TCA Index64</v>
      </c>
      <c r="C308" t="s">
        <v>540</v>
      </c>
      <c r="D308" t="s">
        <v>238</v>
      </c>
      <c r="E308" t="s">
        <v>541</v>
      </c>
      <c r="F308">
        <v>64</v>
      </c>
      <c r="G308" t="s">
        <v>535</v>
      </c>
      <c r="H308" s="26">
        <v>46873</v>
      </c>
      <c r="J308" s="33">
        <f t="shared" si="74"/>
        <v>0</v>
      </c>
      <c r="K308" s="33">
        <f t="shared" si="75"/>
        <v>7393520.5771951983</v>
      </c>
      <c r="L308">
        <f t="shared" si="76"/>
        <v>0</v>
      </c>
      <c r="M308">
        <f t="shared" si="77"/>
        <v>0</v>
      </c>
      <c r="O308" s="40"/>
      <c r="P308" s="155" t="s">
        <v>542</v>
      </c>
    </row>
    <row r="309" spans="2:16" ht="15" x14ac:dyDescent="0.35">
      <c r="B309" t="str">
        <f t="shared" ref="B309:B364" si="78">_xlfn.CONCAT(C309,F309)</f>
        <v>iBoxx MSCI EUR High Yield Paris Aligned Capped TCA Index65</v>
      </c>
      <c r="C309" t="s">
        <v>540</v>
      </c>
      <c r="D309" t="s">
        <v>238</v>
      </c>
      <c r="E309" t="s">
        <v>541</v>
      </c>
      <c r="F309">
        <v>65</v>
      </c>
      <c r="G309" t="s">
        <v>535</v>
      </c>
      <c r="H309" s="26">
        <v>46904</v>
      </c>
      <c r="J309" s="33">
        <f t="shared" si="74"/>
        <v>0</v>
      </c>
      <c r="K309" s="33">
        <f t="shared" si="75"/>
        <v>7348942.7639420396</v>
      </c>
      <c r="L309">
        <f t="shared" si="76"/>
        <v>0</v>
      </c>
      <c r="M309">
        <f t="shared" si="77"/>
        <v>0</v>
      </c>
      <c r="O309" s="40"/>
      <c r="P309" s="155" t="s">
        <v>542</v>
      </c>
    </row>
    <row r="310" spans="2:16" ht="15" x14ac:dyDescent="0.35">
      <c r="B310" t="str">
        <f t="shared" si="78"/>
        <v>iBoxx MSCI EUR High Yield Paris Aligned Capped TCA Index66</v>
      </c>
      <c r="C310" t="s">
        <v>540</v>
      </c>
      <c r="D310" t="s">
        <v>238</v>
      </c>
      <c r="E310" t="s">
        <v>541</v>
      </c>
      <c r="F310">
        <v>66</v>
      </c>
      <c r="G310" t="s">
        <v>535</v>
      </c>
      <c r="H310" s="26">
        <v>46934</v>
      </c>
      <c r="J310" s="33">
        <f t="shared" si="74"/>
        <v>0</v>
      </c>
      <c r="K310" s="33">
        <f t="shared" si="75"/>
        <v>7304633.7240578989</v>
      </c>
      <c r="L310">
        <f t="shared" si="76"/>
        <v>0</v>
      </c>
      <c r="M310">
        <f t="shared" si="77"/>
        <v>0</v>
      </c>
      <c r="O310" s="40"/>
      <c r="P310" s="155" t="s">
        <v>542</v>
      </c>
    </row>
    <row r="311" spans="2:16" ht="15" x14ac:dyDescent="0.35">
      <c r="B311" t="str">
        <f t="shared" si="78"/>
        <v>iBoxx MSCI EUR High Yield Paris Aligned Capped TCA Index67</v>
      </c>
      <c r="C311" t="s">
        <v>540</v>
      </c>
      <c r="D311" t="s">
        <v>238</v>
      </c>
      <c r="E311" t="s">
        <v>541</v>
      </c>
      <c r="F311">
        <v>67</v>
      </c>
      <c r="G311" t="s">
        <v>535</v>
      </c>
      <c r="H311" s="26">
        <v>46965</v>
      </c>
      <c r="J311" s="33">
        <f t="shared" si="74"/>
        <v>0</v>
      </c>
      <c r="K311" s="33">
        <f t="shared" si="75"/>
        <v>7260591.8370253332</v>
      </c>
      <c r="L311">
        <f t="shared" si="76"/>
        <v>0</v>
      </c>
      <c r="M311">
        <f t="shared" si="77"/>
        <v>0</v>
      </c>
      <c r="O311" s="40"/>
      <c r="P311" s="155" t="s">
        <v>542</v>
      </c>
    </row>
    <row r="312" spans="2:16" ht="15" x14ac:dyDescent="0.35">
      <c r="B312" t="str">
        <f t="shared" si="78"/>
        <v>iBoxx MSCI EUR High Yield Paris Aligned Capped TCA Index68</v>
      </c>
      <c r="C312" t="s">
        <v>540</v>
      </c>
      <c r="D312" t="s">
        <v>238</v>
      </c>
      <c r="E312" t="s">
        <v>541</v>
      </c>
      <c r="F312">
        <v>68</v>
      </c>
      <c r="G312" t="s">
        <v>535</v>
      </c>
      <c r="H312" s="26">
        <v>46996</v>
      </c>
      <c r="J312" s="33">
        <f t="shared" si="74"/>
        <v>0</v>
      </c>
      <c r="K312" s="33">
        <f t="shared" si="75"/>
        <v>7216815.4920975016</v>
      </c>
      <c r="L312">
        <f t="shared" si="76"/>
        <v>0</v>
      </c>
      <c r="M312">
        <f t="shared" si="77"/>
        <v>0</v>
      </c>
      <c r="O312" s="40"/>
      <c r="P312" s="155" t="s">
        <v>542</v>
      </c>
    </row>
    <row r="313" spans="2:16" ht="15" x14ac:dyDescent="0.35">
      <c r="B313" t="str">
        <f t="shared" si="78"/>
        <v>iBoxx MSCI EUR High Yield Paris Aligned Capped TCA Index69</v>
      </c>
      <c r="C313" t="s">
        <v>540</v>
      </c>
      <c r="D313" t="s">
        <v>238</v>
      </c>
      <c r="E313" t="s">
        <v>541</v>
      </c>
      <c r="F313">
        <v>69</v>
      </c>
      <c r="G313" t="s">
        <v>535</v>
      </c>
      <c r="H313" s="26">
        <v>47026</v>
      </c>
      <c r="J313" s="33">
        <f t="shared" si="74"/>
        <v>0</v>
      </c>
      <c r="K313" s="33">
        <f t="shared" si="75"/>
        <v>7173303.0882392488</v>
      </c>
      <c r="L313">
        <f t="shared" si="76"/>
        <v>0</v>
      </c>
      <c r="M313">
        <f t="shared" si="77"/>
        <v>0</v>
      </c>
      <c r="O313" s="40"/>
      <c r="P313" s="155" t="s">
        <v>542</v>
      </c>
    </row>
    <row r="314" spans="2:16" ht="15" x14ac:dyDescent="0.35">
      <c r="B314" t="str">
        <f t="shared" si="78"/>
        <v>iBoxx MSCI EUR High Yield Paris Aligned Capped TCA Index70</v>
      </c>
      <c r="C314" t="s">
        <v>540</v>
      </c>
      <c r="D314" t="s">
        <v>238</v>
      </c>
      <c r="E314" t="s">
        <v>541</v>
      </c>
      <c r="F314">
        <v>70</v>
      </c>
      <c r="G314" t="s">
        <v>535</v>
      </c>
      <c r="H314" s="26">
        <v>47057</v>
      </c>
      <c r="J314" s="33">
        <f t="shared" si="74"/>
        <v>0</v>
      </c>
      <c r="K314" s="33">
        <f t="shared" si="75"/>
        <v>7130053.0340685556</v>
      </c>
      <c r="L314">
        <f t="shared" si="76"/>
        <v>0</v>
      </c>
      <c r="M314">
        <f t="shared" si="77"/>
        <v>0</v>
      </c>
      <c r="O314" s="40"/>
      <c r="P314" s="155" t="s">
        <v>542</v>
      </c>
    </row>
    <row r="315" spans="2:16" ht="15" x14ac:dyDescent="0.35">
      <c r="B315" t="str">
        <f t="shared" si="78"/>
        <v>iBoxx MSCI EUR High Yield Paris Aligned Capped TCA Index71</v>
      </c>
      <c r="C315" t="s">
        <v>540</v>
      </c>
      <c r="D315" t="s">
        <v>238</v>
      </c>
      <c r="E315" t="s">
        <v>541</v>
      </c>
      <c r="F315">
        <v>71</v>
      </c>
      <c r="G315" t="s">
        <v>535</v>
      </c>
      <c r="H315" s="26">
        <v>47087</v>
      </c>
      <c r="J315" s="33">
        <f t="shared" si="74"/>
        <v>0</v>
      </c>
      <c r="K315" s="33">
        <f t="shared" si="75"/>
        <v>7087063.747798332</v>
      </c>
      <c r="L315">
        <f t="shared" si="76"/>
        <v>0</v>
      </c>
      <c r="M315">
        <f t="shared" si="77"/>
        <v>0</v>
      </c>
      <c r="O315" s="40"/>
      <c r="P315" s="155" t="s">
        <v>542</v>
      </c>
    </row>
    <row r="316" spans="2:16" ht="15" x14ac:dyDescent="0.35">
      <c r="B316" t="str">
        <f t="shared" si="78"/>
        <v>iBoxx MSCI EUR High Yield Paris Aligned Capped TCA Index72</v>
      </c>
      <c r="C316" t="s">
        <v>540</v>
      </c>
      <c r="D316" t="s">
        <v>238</v>
      </c>
      <c r="E316" t="s">
        <v>541</v>
      </c>
      <c r="F316">
        <v>72</v>
      </c>
      <c r="G316" t="s">
        <v>535</v>
      </c>
      <c r="H316" s="26">
        <v>47118</v>
      </c>
      <c r="J316" s="33">
        <f t="shared" si="74"/>
        <v>0</v>
      </c>
      <c r="K316" s="33">
        <f t="shared" si="75"/>
        <v>7044333.657178577</v>
      </c>
      <c r="L316">
        <f t="shared" si="76"/>
        <v>0</v>
      </c>
      <c r="M316">
        <f t="shared" si="77"/>
        <v>0</v>
      </c>
      <c r="O316" s="40"/>
      <c r="P316" s="155" t="s">
        <v>542</v>
      </c>
    </row>
    <row r="317" spans="2:16" ht="15" x14ac:dyDescent="0.35">
      <c r="B317" t="str">
        <f t="shared" si="78"/>
        <v>iBoxx MSCI EUR High Yield Paris Aligned Capped TCA Index73</v>
      </c>
      <c r="C317" t="s">
        <v>540</v>
      </c>
      <c r="D317" t="s">
        <v>238</v>
      </c>
      <c r="E317" t="s">
        <v>541</v>
      </c>
      <c r="F317">
        <v>73</v>
      </c>
      <c r="G317" t="s">
        <v>535</v>
      </c>
      <c r="H317" s="26">
        <v>47149</v>
      </c>
      <c r="J317" s="33">
        <f t="shared" ref="J317:J380" si="79">IF(G317="PA",I317*0.5,IF(G317="CT",I317*0.7,""))</f>
        <v>0</v>
      </c>
      <c r="K317" s="33">
        <f t="shared" si="75"/>
        <v>7001861.1994388597</v>
      </c>
      <c r="L317">
        <f t="shared" si="76"/>
        <v>0</v>
      </c>
      <c r="M317">
        <f t="shared" si="77"/>
        <v>0</v>
      </c>
      <c r="O317" s="40"/>
      <c r="P317" s="155" t="s">
        <v>542</v>
      </c>
    </row>
    <row r="318" spans="2:16" ht="15" x14ac:dyDescent="0.35">
      <c r="B318" t="str">
        <f t="shared" si="78"/>
        <v>iBoxx MSCI EUR High Yield Paris Aligned Capped TCA Index74</v>
      </c>
      <c r="C318" t="s">
        <v>540</v>
      </c>
      <c r="D318" t="s">
        <v>238</v>
      </c>
      <c r="E318" t="s">
        <v>541</v>
      </c>
      <c r="F318">
        <v>74</v>
      </c>
      <c r="G318" t="s">
        <v>535</v>
      </c>
      <c r="H318" s="26">
        <v>47177</v>
      </c>
      <c r="J318" s="33">
        <f t="shared" si="79"/>
        <v>0</v>
      </c>
      <c r="K318" s="33">
        <f t="shared" si="75"/>
        <v>6959644.8212311827</v>
      </c>
      <c r="L318">
        <f t="shared" si="76"/>
        <v>0</v>
      </c>
      <c r="M318">
        <f t="shared" si="77"/>
        <v>0</v>
      </c>
      <c r="O318" s="40"/>
      <c r="P318" s="155" t="s">
        <v>542</v>
      </c>
    </row>
    <row r="319" spans="2:16" ht="15" x14ac:dyDescent="0.35">
      <c r="B319" t="str">
        <f t="shared" si="78"/>
        <v>iBoxx MSCI EUR High Yield Paris Aligned Capped TCA Index75</v>
      </c>
      <c r="C319" t="s">
        <v>540</v>
      </c>
      <c r="D319" t="s">
        <v>238</v>
      </c>
      <c r="E319" t="s">
        <v>541</v>
      </c>
      <c r="F319">
        <v>75</v>
      </c>
      <c r="G319" t="s">
        <v>535</v>
      </c>
      <c r="H319" s="26">
        <v>47208</v>
      </c>
      <c r="J319" s="33">
        <f t="shared" si="79"/>
        <v>0</v>
      </c>
      <c r="K319" s="33">
        <f t="shared" si="75"/>
        <v>6917682.9785731547</v>
      </c>
      <c r="L319">
        <f t="shared" si="76"/>
        <v>0</v>
      </c>
      <c r="M319">
        <f t="shared" si="77"/>
        <v>0</v>
      </c>
      <c r="O319" s="40"/>
      <c r="P319" s="155" t="s">
        <v>542</v>
      </c>
    </row>
    <row r="320" spans="2:16" ht="15" x14ac:dyDescent="0.35">
      <c r="B320" t="str">
        <f t="shared" si="78"/>
        <v>iBoxx MSCI EUR High Yield Paris Aligned Capped TCA Index76</v>
      </c>
      <c r="C320" t="s">
        <v>540</v>
      </c>
      <c r="D320" t="s">
        <v>238</v>
      </c>
      <c r="E320" t="s">
        <v>541</v>
      </c>
      <c r="F320">
        <v>76</v>
      </c>
      <c r="G320" t="s">
        <v>535</v>
      </c>
      <c r="H320" s="26">
        <v>47238</v>
      </c>
      <c r="J320" s="33">
        <f t="shared" si="79"/>
        <v>0</v>
      </c>
      <c r="K320" s="33">
        <f t="shared" si="75"/>
        <v>6875974.1367915357</v>
      </c>
      <c r="L320">
        <f t="shared" si="76"/>
        <v>0</v>
      </c>
      <c r="M320">
        <f t="shared" si="77"/>
        <v>0</v>
      </c>
      <c r="O320" s="40"/>
      <c r="P320" s="155" t="s">
        <v>542</v>
      </c>
    </row>
    <row r="321" spans="2:16" ht="15" x14ac:dyDescent="0.35">
      <c r="B321" t="str">
        <f t="shared" si="78"/>
        <v>iBoxx MSCI EUR High Yield Paris Aligned Capped TCA Index77</v>
      </c>
      <c r="C321" t="s">
        <v>540</v>
      </c>
      <c r="D321" t="s">
        <v>238</v>
      </c>
      <c r="E321" t="s">
        <v>541</v>
      </c>
      <c r="F321">
        <v>77</v>
      </c>
      <c r="G321" t="s">
        <v>535</v>
      </c>
      <c r="H321" s="26">
        <v>47269</v>
      </c>
      <c r="J321" s="33">
        <f t="shared" si="79"/>
        <v>0</v>
      </c>
      <c r="K321" s="33">
        <f t="shared" si="75"/>
        <v>6834516.7704660976</v>
      </c>
      <c r="L321">
        <f t="shared" si="76"/>
        <v>0</v>
      </c>
      <c r="M321">
        <f t="shared" si="77"/>
        <v>0</v>
      </c>
      <c r="O321" s="40"/>
      <c r="P321" s="155" t="s">
        <v>542</v>
      </c>
    </row>
    <row r="322" spans="2:16" ht="15" x14ac:dyDescent="0.35">
      <c r="B322" t="str">
        <f t="shared" si="78"/>
        <v>iBoxx MSCI EUR High Yield Paris Aligned Capped TCA Index78</v>
      </c>
      <c r="C322" t="s">
        <v>540</v>
      </c>
      <c r="D322" t="s">
        <v>238</v>
      </c>
      <c r="E322" t="s">
        <v>541</v>
      </c>
      <c r="F322">
        <v>78</v>
      </c>
      <c r="G322" t="s">
        <v>535</v>
      </c>
      <c r="H322" s="26">
        <v>47299</v>
      </c>
      <c r="J322" s="33">
        <f t="shared" si="79"/>
        <v>0</v>
      </c>
      <c r="K322" s="33">
        <f t="shared" si="75"/>
        <v>6793309.3633738458</v>
      </c>
      <c r="L322">
        <f t="shared" si="76"/>
        <v>0</v>
      </c>
      <c r="M322">
        <f t="shared" si="77"/>
        <v>0</v>
      </c>
      <c r="O322" s="40"/>
      <c r="P322" s="155" t="s">
        <v>542</v>
      </c>
    </row>
    <row r="323" spans="2:16" ht="15" x14ac:dyDescent="0.35">
      <c r="B323" t="str">
        <f t="shared" si="78"/>
        <v>iBoxx MSCI EUR High Yield Paris Aligned Capped TCA Index79</v>
      </c>
      <c r="C323" t="s">
        <v>540</v>
      </c>
      <c r="D323" t="s">
        <v>238</v>
      </c>
      <c r="E323" t="s">
        <v>541</v>
      </c>
      <c r="F323">
        <v>79</v>
      </c>
      <c r="G323" t="s">
        <v>535</v>
      </c>
      <c r="H323" s="26">
        <v>47330</v>
      </c>
      <c r="J323" s="33">
        <f t="shared" si="79"/>
        <v>0</v>
      </c>
      <c r="K323" s="33">
        <f t="shared" si="75"/>
        <v>6752350.4084335612</v>
      </c>
      <c r="L323">
        <f t="shared" si="76"/>
        <v>0</v>
      </c>
      <c r="M323">
        <f t="shared" si="77"/>
        <v>0</v>
      </c>
      <c r="O323" s="40"/>
      <c r="P323" s="155" t="s">
        <v>542</v>
      </c>
    </row>
    <row r="324" spans="2:16" ht="15" x14ac:dyDescent="0.35">
      <c r="B324" t="str">
        <f t="shared" si="78"/>
        <v>iBoxx MSCI EUR High Yield Paris Aligned Capped TCA Index80</v>
      </c>
      <c r="C324" t="s">
        <v>540</v>
      </c>
      <c r="D324" t="s">
        <v>238</v>
      </c>
      <c r="E324" t="s">
        <v>541</v>
      </c>
      <c r="F324">
        <v>80</v>
      </c>
      <c r="G324" t="s">
        <v>535</v>
      </c>
      <c r="H324" s="26">
        <v>47361</v>
      </c>
      <c r="J324" s="33">
        <f t="shared" si="79"/>
        <v>0</v>
      </c>
      <c r="K324" s="33">
        <f t="shared" ref="K324:K387" si="80">VLOOKUP(C324,$C:$K,8,FALSE)*0.93^(F324/12)</f>
        <v>6711638.4076506766</v>
      </c>
      <c r="L324">
        <f t="shared" si="76"/>
        <v>0</v>
      </c>
      <c r="M324">
        <f t="shared" si="77"/>
        <v>0</v>
      </c>
      <c r="O324" s="40"/>
      <c r="P324" s="155" t="s">
        <v>542</v>
      </c>
    </row>
    <row r="325" spans="2:16" ht="15" x14ac:dyDescent="0.35">
      <c r="B325" t="str">
        <f t="shared" si="78"/>
        <v>iBoxx MSCI EUR High Yield Paris Aligned Capped TCA Index81</v>
      </c>
      <c r="C325" t="s">
        <v>540</v>
      </c>
      <c r="D325" t="s">
        <v>238</v>
      </c>
      <c r="E325" t="s">
        <v>541</v>
      </c>
      <c r="F325">
        <v>81</v>
      </c>
      <c r="G325" t="s">
        <v>535</v>
      </c>
      <c r="H325" s="26">
        <v>47391</v>
      </c>
      <c r="J325" s="33">
        <f t="shared" si="79"/>
        <v>0</v>
      </c>
      <c r="K325" s="33">
        <f t="shared" si="80"/>
        <v>6671171.8720625024</v>
      </c>
      <c r="L325">
        <f t="shared" ref="L325:L388" si="81">MIN(J325,K325)</f>
        <v>0</v>
      </c>
      <c r="M325">
        <f t="shared" ref="M325:M388" si="82">L325*0.975</f>
        <v>0</v>
      </c>
      <c r="O325" s="40"/>
      <c r="P325" s="155" t="s">
        <v>542</v>
      </c>
    </row>
    <row r="326" spans="2:16" ht="15" x14ac:dyDescent="0.35">
      <c r="B326" t="str">
        <f t="shared" si="78"/>
        <v>iBoxx MSCI EUR High Yield Paris Aligned Capped TCA Index82</v>
      </c>
      <c r="C326" t="s">
        <v>540</v>
      </c>
      <c r="D326" t="s">
        <v>238</v>
      </c>
      <c r="E326" t="s">
        <v>541</v>
      </c>
      <c r="F326">
        <v>82</v>
      </c>
      <c r="G326" t="s">
        <v>535</v>
      </c>
      <c r="H326" s="26">
        <v>47422</v>
      </c>
      <c r="J326" s="33">
        <f t="shared" si="79"/>
        <v>0</v>
      </c>
      <c r="K326" s="33">
        <f t="shared" si="80"/>
        <v>6630949.3216837561</v>
      </c>
      <c r="L326">
        <f t="shared" si="81"/>
        <v>0</v>
      </c>
      <c r="M326">
        <f t="shared" si="82"/>
        <v>0</v>
      </c>
      <c r="O326" s="40"/>
      <c r="P326" s="155" t="s">
        <v>542</v>
      </c>
    </row>
    <row r="327" spans="2:16" ht="15" x14ac:dyDescent="0.35">
      <c r="B327" t="str">
        <f t="shared" si="78"/>
        <v>iBoxx MSCI EUR High Yield Paris Aligned Capped TCA Index83</v>
      </c>
      <c r="C327" t="s">
        <v>540</v>
      </c>
      <c r="D327" t="s">
        <v>238</v>
      </c>
      <c r="E327" t="s">
        <v>541</v>
      </c>
      <c r="F327">
        <v>83</v>
      </c>
      <c r="G327" t="s">
        <v>535</v>
      </c>
      <c r="H327" s="26">
        <v>47452</v>
      </c>
      <c r="J327" s="33">
        <f t="shared" si="79"/>
        <v>0</v>
      </c>
      <c r="K327" s="33">
        <f t="shared" si="80"/>
        <v>6590969.2854524497</v>
      </c>
      <c r="L327">
        <f t="shared" si="81"/>
        <v>0</v>
      </c>
      <c r="M327">
        <f t="shared" si="82"/>
        <v>0</v>
      </c>
      <c r="O327" s="40"/>
      <c r="P327" s="155" t="s">
        <v>542</v>
      </c>
    </row>
    <row r="328" spans="2:16" ht="15" x14ac:dyDescent="0.35">
      <c r="B328" t="str">
        <f t="shared" si="78"/>
        <v>iBoxx MSCI EUR High Yield Paris Aligned Capped TCA Index84</v>
      </c>
      <c r="C328" t="s">
        <v>540</v>
      </c>
      <c r="D328" t="s">
        <v>238</v>
      </c>
      <c r="E328" t="s">
        <v>541</v>
      </c>
      <c r="F328">
        <v>84</v>
      </c>
      <c r="G328" t="s">
        <v>535</v>
      </c>
      <c r="H328" s="26">
        <v>47483</v>
      </c>
      <c r="J328" s="33">
        <f t="shared" si="79"/>
        <v>0</v>
      </c>
      <c r="K328" s="33">
        <f t="shared" si="80"/>
        <v>6551230.3011760768</v>
      </c>
      <c r="L328">
        <f t="shared" si="81"/>
        <v>0</v>
      </c>
      <c r="M328">
        <f t="shared" si="82"/>
        <v>0</v>
      </c>
      <c r="O328" s="40"/>
      <c r="P328" s="155" t="s">
        <v>542</v>
      </c>
    </row>
    <row r="329" spans="2:16" ht="15" x14ac:dyDescent="0.35">
      <c r="B329" t="str">
        <f t="shared" si="78"/>
        <v>iBoxx MSCI EUR High Yield Paris Aligned Capped TCA Index85</v>
      </c>
      <c r="C329" t="s">
        <v>540</v>
      </c>
      <c r="D329" t="s">
        <v>238</v>
      </c>
      <c r="E329" t="s">
        <v>541</v>
      </c>
      <c r="F329">
        <v>85</v>
      </c>
      <c r="G329" t="s">
        <v>535</v>
      </c>
      <c r="H329" s="26">
        <v>47514</v>
      </c>
      <c r="J329" s="33">
        <f t="shared" si="79"/>
        <v>0</v>
      </c>
      <c r="K329" s="33">
        <f t="shared" si="80"/>
        <v>6511730.9154781401</v>
      </c>
      <c r="L329">
        <f t="shared" si="81"/>
        <v>0</v>
      </c>
      <c r="M329">
        <f t="shared" si="82"/>
        <v>0</v>
      </c>
      <c r="O329" s="40"/>
      <c r="P329" s="155" t="s">
        <v>542</v>
      </c>
    </row>
    <row r="330" spans="2:16" ht="15" x14ac:dyDescent="0.35">
      <c r="B330" t="str">
        <f t="shared" si="78"/>
        <v>iBoxx MSCI EUR High Yield Paris Aligned Capped TCA Index86</v>
      </c>
      <c r="C330" t="s">
        <v>540</v>
      </c>
      <c r="D330" t="s">
        <v>238</v>
      </c>
      <c r="E330" t="s">
        <v>541</v>
      </c>
      <c r="F330">
        <v>86</v>
      </c>
      <c r="G330" t="s">
        <v>535</v>
      </c>
      <c r="H330" s="26">
        <v>47542</v>
      </c>
      <c r="J330" s="33">
        <f t="shared" si="79"/>
        <v>0</v>
      </c>
      <c r="K330" s="33">
        <f t="shared" si="80"/>
        <v>6472469.6837449996</v>
      </c>
      <c r="L330">
        <f t="shared" si="81"/>
        <v>0</v>
      </c>
      <c r="M330">
        <f t="shared" si="82"/>
        <v>0</v>
      </c>
      <c r="O330" s="40"/>
      <c r="P330" s="155" t="s">
        <v>542</v>
      </c>
    </row>
    <row r="331" spans="2:16" ht="15" x14ac:dyDescent="0.35">
      <c r="B331" t="str">
        <f t="shared" si="78"/>
        <v>iBoxx MSCI EUR High Yield Paris Aligned Capped TCA Index87</v>
      </c>
      <c r="C331" t="s">
        <v>540</v>
      </c>
      <c r="D331" t="s">
        <v>238</v>
      </c>
      <c r="E331" t="s">
        <v>541</v>
      </c>
      <c r="F331">
        <v>87</v>
      </c>
      <c r="G331" t="s">
        <v>535</v>
      </c>
      <c r="H331" s="26">
        <v>47573</v>
      </c>
      <c r="J331" s="33">
        <f t="shared" si="79"/>
        <v>0</v>
      </c>
      <c r="K331" s="33">
        <f t="shared" si="80"/>
        <v>6433445.1700730352</v>
      </c>
      <c r="L331">
        <f t="shared" si="81"/>
        <v>0</v>
      </c>
      <c r="M331">
        <f t="shared" si="82"/>
        <v>0</v>
      </c>
      <c r="O331" s="40"/>
      <c r="P331" s="155" t="s">
        <v>542</v>
      </c>
    </row>
    <row r="332" spans="2:16" ht="15" x14ac:dyDescent="0.35">
      <c r="B332" t="str">
        <f t="shared" si="78"/>
        <v>iBoxx MSCI EUR High Yield Paris Aligned Capped TCA Index88</v>
      </c>
      <c r="C332" t="s">
        <v>540</v>
      </c>
      <c r="D332" t="s">
        <v>238</v>
      </c>
      <c r="E332" t="s">
        <v>541</v>
      </c>
      <c r="F332">
        <v>88</v>
      </c>
      <c r="G332" t="s">
        <v>535</v>
      </c>
      <c r="H332" s="26">
        <v>47603</v>
      </c>
      <c r="J332" s="33">
        <f t="shared" si="79"/>
        <v>0</v>
      </c>
      <c r="K332" s="33">
        <f t="shared" si="80"/>
        <v>6394655.947216128</v>
      </c>
      <c r="L332">
        <f t="shared" si="81"/>
        <v>0</v>
      </c>
      <c r="M332">
        <f t="shared" si="82"/>
        <v>0</v>
      </c>
      <c r="O332" s="40"/>
      <c r="P332" s="155" t="s">
        <v>542</v>
      </c>
    </row>
    <row r="333" spans="2:16" ht="15" x14ac:dyDescent="0.35">
      <c r="B333" t="str">
        <f t="shared" si="78"/>
        <v>iBoxx MSCI EUR High Yield Paris Aligned Capped TCA Index89</v>
      </c>
      <c r="C333" t="s">
        <v>540</v>
      </c>
      <c r="D333" t="s">
        <v>238</v>
      </c>
      <c r="E333" t="s">
        <v>541</v>
      </c>
      <c r="F333">
        <v>89</v>
      </c>
      <c r="G333" t="s">
        <v>535</v>
      </c>
      <c r="H333" s="26">
        <v>47634</v>
      </c>
      <c r="J333" s="33">
        <f t="shared" si="79"/>
        <v>0</v>
      </c>
      <c r="K333" s="33">
        <f t="shared" si="80"/>
        <v>6356100.5965334717</v>
      </c>
      <c r="L333">
        <f t="shared" si="81"/>
        <v>0</v>
      </c>
      <c r="M333">
        <f t="shared" si="82"/>
        <v>0</v>
      </c>
      <c r="O333" s="40"/>
      <c r="P333" s="155" t="s">
        <v>542</v>
      </c>
    </row>
    <row r="334" spans="2:16" ht="15" x14ac:dyDescent="0.35">
      <c r="B334" t="str">
        <f t="shared" si="78"/>
        <v>iBoxx MSCI EUR High Yield Paris Aligned Capped TCA Index90</v>
      </c>
      <c r="C334" t="s">
        <v>540</v>
      </c>
      <c r="D334" t="s">
        <v>238</v>
      </c>
      <c r="E334" t="s">
        <v>541</v>
      </c>
      <c r="F334">
        <v>90</v>
      </c>
      <c r="G334" t="s">
        <v>535</v>
      </c>
      <c r="H334" s="26">
        <v>47664</v>
      </c>
      <c r="J334" s="33">
        <f t="shared" si="79"/>
        <v>0</v>
      </c>
      <c r="K334" s="33">
        <f t="shared" si="80"/>
        <v>6317777.7079376774</v>
      </c>
      <c r="L334">
        <f t="shared" si="81"/>
        <v>0</v>
      </c>
      <c r="M334">
        <f t="shared" si="82"/>
        <v>0</v>
      </c>
      <c r="O334" s="40"/>
      <c r="P334" s="155" t="s">
        <v>542</v>
      </c>
    </row>
    <row r="335" spans="2:16" ht="15" x14ac:dyDescent="0.35">
      <c r="B335" t="str">
        <f t="shared" si="78"/>
        <v>iBoxx MSCI EUR High Yield Paris Aligned Capped TCA Index91</v>
      </c>
      <c r="C335" t="s">
        <v>540</v>
      </c>
      <c r="D335" t="s">
        <v>238</v>
      </c>
      <c r="E335" t="s">
        <v>541</v>
      </c>
      <c r="F335">
        <v>91</v>
      </c>
      <c r="G335" t="s">
        <v>535</v>
      </c>
      <c r="H335" s="26">
        <v>47695</v>
      </c>
      <c r="J335" s="33">
        <f t="shared" si="79"/>
        <v>0</v>
      </c>
      <c r="K335" s="33">
        <f t="shared" si="80"/>
        <v>6279685.8798432117</v>
      </c>
      <c r="L335">
        <f t="shared" si="81"/>
        <v>0</v>
      </c>
      <c r="M335">
        <f t="shared" si="82"/>
        <v>0</v>
      </c>
      <c r="O335" s="40"/>
      <c r="P335" s="155" t="s">
        <v>542</v>
      </c>
    </row>
    <row r="336" spans="2:16" ht="15" x14ac:dyDescent="0.35">
      <c r="B336" t="str">
        <f t="shared" si="78"/>
        <v>iBoxx MSCI EUR High Yield Paris Aligned Capped TCA Index92</v>
      </c>
      <c r="C336" t="s">
        <v>540</v>
      </c>
      <c r="D336" t="s">
        <v>238</v>
      </c>
      <c r="E336" t="s">
        <v>541</v>
      </c>
      <c r="F336">
        <v>92</v>
      </c>
      <c r="G336" t="s">
        <v>535</v>
      </c>
      <c r="H336" s="26">
        <v>47726</v>
      </c>
      <c r="J336" s="33">
        <f t="shared" si="79"/>
        <v>0</v>
      </c>
      <c r="K336" s="33">
        <f t="shared" si="80"/>
        <v>6241823.7191151306</v>
      </c>
      <c r="L336">
        <f t="shared" si="81"/>
        <v>0</v>
      </c>
      <c r="M336">
        <f t="shared" si="82"/>
        <v>0</v>
      </c>
      <c r="O336" s="40"/>
      <c r="P336" s="155" t="s">
        <v>542</v>
      </c>
    </row>
    <row r="337" spans="2:16" ht="15" x14ac:dyDescent="0.35">
      <c r="B337" t="str">
        <f t="shared" si="78"/>
        <v>iBoxx MSCI EUR High Yield Paris Aligned Capped TCA Index93</v>
      </c>
      <c r="C337" t="s">
        <v>540</v>
      </c>
      <c r="D337" t="s">
        <v>238</v>
      </c>
      <c r="E337" t="s">
        <v>541</v>
      </c>
      <c r="F337">
        <v>93</v>
      </c>
      <c r="G337" t="s">
        <v>535</v>
      </c>
      <c r="H337" s="26">
        <v>47756</v>
      </c>
      <c r="J337" s="33">
        <f t="shared" si="79"/>
        <v>0</v>
      </c>
      <c r="K337" s="33">
        <f t="shared" si="80"/>
        <v>6204189.8410181273</v>
      </c>
      <c r="L337">
        <f t="shared" si="81"/>
        <v>0</v>
      </c>
      <c r="M337">
        <f t="shared" si="82"/>
        <v>0</v>
      </c>
      <c r="O337" s="40"/>
      <c r="P337" s="155" t="s">
        <v>542</v>
      </c>
    </row>
    <row r="338" spans="2:16" ht="15" x14ac:dyDescent="0.35">
      <c r="B338" t="str">
        <f t="shared" si="78"/>
        <v>iBoxx MSCI EUR High Yield Paris Aligned Capped TCA Index94</v>
      </c>
      <c r="C338" t="s">
        <v>540</v>
      </c>
      <c r="D338" t="s">
        <v>238</v>
      </c>
      <c r="E338" t="s">
        <v>541</v>
      </c>
      <c r="F338">
        <v>94</v>
      </c>
      <c r="G338" t="s">
        <v>535</v>
      </c>
      <c r="H338" s="26">
        <v>47787</v>
      </c>
      <c r="J338" s="33">
        <f t="shared" si="79"/>
        <v>0</v>
      </c>
      <c r="K338" s="33">
        <f t="shared" si="80"/>
        <v>6166782.8691658927</v>
      </c>
      <c r="L338">
        <f t="shared" si="81"/>
        <v>0</v>
      </c>
      <c r="M338">
        <f t="shared" si="82"/>
        <v>0</v>
      </c>
      <c r="O338" s="40"/>
      <c r="P338" s="155" t="s">
        <v>542</v>
      </c>
    </row>
    <row r="339" spans="2:16" ht="15" x14ac:dyDescent="0.35">
      <c r="B339" t="str">
        <f t="shared" si="78"/>
        <v>iBoxx MSCI EUR High Yield Paris Aligned Capped TCA Index95</v>
      </c>
      <c r="C339" t="s">
        <v>540</v>
      </c>
      <c r="D339" t="s">
        <v>238</v>
      </c>
      <c r="E339" t="s">
        <v>541</v>
      </c>
      <c r="F339">
        <v>95</v>
      </c>
      <c r="G339" t="s">
        <v>535</v>
      </c>
      <c r="H339" s="26">
        <v>47817</v>
      </c>
      <c r="J339" s="33">
        <f t="shared" si="79"/>
        <v>0</v>
      </c>
      <c r="K339" s="33">
        <f t="shared" si="80"/>
        <v>6129601.4354707785</v>
      </c>
      <c r="L339">
        <f t="shared" si="81"/>
        <v>0</v>
      </c>
      <c r="M339">
        <f t="shared" si="82"/>
        <v>0</v>
      </c>
      <c r="O339" s="40"/>
      <c r="P339" s="155" t="s">
        <v>542</v>
      </c>
    </row>
    <row r="340" spans="2:16" ht="15" x14ac:dyDescent="0.35">
      <c r="B340" t="str">
        <f t="shared" si="78"/>
        <v>iBoxx MSCI EUR High Yield Paris Aligned Capped TCA Index96</v>
      </c>
      <c r="C340" t="s">
        <v>540</v>
      </c>
      <c r="D340" t="s">
        <v>238</v>
      </c>
      <c r="E340" t="s">
        <v>541</v>
      </c>
      <c r="F340">
        <v>96</v>
      </c>
      <c r="G340" t="s">
        <v>535</v>
      </c>
      <c r="H340" s="26">
        <v>47848</v>
      </c>
      <c r="J340" s="33">
        <f t="shared" si="79"/>
        <v>0</v>
      </c>
      <c r="K340" s="33">
        <f t="shared" si="80"/>
        <v>6092644.1800937522</v>
      </c>
      <c r="L340">
        <f t="shared" si="81"/>
        <v>0</v>
      </c>
      <c r="M340">
        <f t="shared" si="82"/>
        <v>0</v>
      </c>
      <c r="O340" s="40"/>
      <c r="P340" s="155" t="s">
        <v>542</v>
      </c>
    </row>
    <row r="341" spans="2:16" ht="15" x14ac:dyDescent="0.35">
      <c r="B341" t="str">
        <f t="shared" si="78"/>
        <v>iBoxx MSCI EUR High Yield Paris Aligned Capped TCA Index97</v>
      </c>
      <c r="C341" t="s">
        <v>540</v>
      </c>
      <c r="D341" t="s">
        <v>238</v>
      </c>
      <c r="E341" t="s">
        <v>541</v>
      </c>
      <c r="F341">
        <v>97</v>
      </c>
      <c r="G341" t="s">
        <v>535</v>
      </c>
      <c r="H341" s="26">
        <v>47879</v>
      </c>
      <c r="J341" s="33">
        <f t="shared" si="79"/>
        <v>0</v>
      </c>
      <c r="K341" s="33">
        <f t="shared" si="80"/>
        <v>6055909.7513946705</v>
      </c>
      <c r="L341">
        <f t="shared" si="81"/>
        <v>0</v>
      </c>
      <c r="M341">
        <f t="shared" si="82"/>
        <v>0</v>
      </c>
      <c r="O341" s="40"/>
      <c r="P341" s="155" t="s">
        <v>542</v>
      </c>
    </row>
    <row r="342" spans="2:16" ht="15" x14ac:dyDescent="0.35">
      <c r="B342" t="str">
        <f t="shared" si="78"/>
        <v>iBoxx MSCI EUR High Yield Paris Aligned Capped TCA Index98</v>
      </c>
      <c r="C342" t="s">
        <v>540</v>
      </c>
      <c r="D342" t="s">
        <v>238</v>
      </c>
      <c r="E342" t="s">
        <v>541</v>
      </c>
      <c r="F342">
        <v>98</v>
      </c>
      <c r="G342" t="s">
        <v>535</v>
      </c>
      <c r="H342" s="26">
        <v>47907</v>
      </c>
      <c r="J342" s="33">
        <f t="shared" si="79"/>
        <v>0</v>
      </c>
      <c r="K342" s="33">
        <f t="shared" si="80"/>
        <v>6019396.8058828497</v>
      </c>
      <c r="L342">
        <f t="shared" si="81"/>
        <v>0</v>
      </c>
      <c r="M342">
        <f t="shared" si="82"/>
        <v>0</v>
      </c>
      <c r="O342" s="40"/>
      <c r="P342" s="155" t="s">
        <v>542</v>
      </c>
    </row>
    <row r="343" spans="2:16" ht="15" x14ac:dyDescent="0.35">
      <c r="B343" t="str">
        <f t="shared" si="78"/>
        <v>iBoxx MSCI EUR High Yield Paris Aligned Capped TCA Index99</v>
      </c>
      <c r="C343" t="s">
        <v>540</v>
      </c>
      <c r="D343" t="s">
        <v>238</v>
      </c>
      <c r="E343" t="s">
        <v>541</v>
      </c>
      <c r="F343">
        <v>99</v>
      </c>
      <c r="G343" t="s">
        <v>535</v>
      </c>
      <c r="H343" s="26">
        <v>47938</v>
      </c>
      <c r="J343" s="33">
        <f t="shared" si="79"/>
        <v>0</v>
      </c>
      <c r="K343" s="33">
        <f t="shared" si="80"/>
        <v>5983104.0081679225</v>
      </c>
      <c r="L343">
        <f t="shared" si="81"/>
        <v>0</v>
      </c>
      <c r="M343">
        <f t="shared" si="82"/>
        <v>0</v>
      </c>
      <c r="O343" s="40"/>
      <c r="P343" s="155" t="s">
        <v>542</v>
      </c>
    </row>
    <row r="344" spans="2:16" ht="15" x14ac:dyDescent="0.35">
      <c r="B344" t="str">
        <f t="shared" si="78"/>
        <v>iBoxx MSCI EUR High Yield Paris Aligned Capped TCA Index100</v>
      </c>
      <c r="C344" t="s">
        <v>540</v>
      </c>
      <c r="D344" t="s">
        <v>238</v>
      </c>
      <c r="E344" t="s">
        <v>541</v>
      </c>
      <c r="F344">
        <v>100</v>
      </c>
      <c r="G344" t="s">
        <v>535</v>
      </c>
      <c r="H344" s="26">
        <v>47968</v>
      </c>
      <c r="J344" s="33">
        <f t="shared" si="79"/>
        <v>0</v>
      </c>
      <c r="K344" s="33">
        <f t="shared" si="80"/>
        <v>5947030.0309109986</v>
      </c>
      <c r="L344">
        <f t="shared" si="81"/>
        <v>0</v>
      </c>
      <c r="M344">
        <f t="shared" si="82"/>
        <v>0</v>
      </c>
      <c r="O344" s="40"/>
      <c r="P344" s="155" t="s">
        <v>542</v>
      </c>
    </row>
    <row r="345" spans="2:16" ht="15" x14ac:dyDescent="0.35">
      <c r="B345" t="str">
        <f t="shared" si="78"/>
        <v>iBoxx MSCI EUR High Yield Paris Aligned Capped TCA Index101</v>
      </c>
      <c r="C345" t="s">
        <v>540</v>
      </c>
      <c r="D345" t="s">
        <v>238</v>
      </c>
      <c r="E345" t="s">
        <v>541</v>
      </c>
      <c r="F345">
        <v>101</v>
      </c>
      <c r="G345" t="s">
        <v>535</v>
      </c>
      <c r="H345" s="26">
        <v>47999</v>
      </c>
      <c r="J345" s="33">
        <f t="shared" si="79"/>
        <v>0</v>
      </c>
      <c r="K345" s="33">
        <f t="shared" si="80"/>
        <v>5911173.5547761293</v>
      </c>
      <c r="L345">
        <f t="shared" si="81"/>
        <v>0</v>
      </c>
      <c r="M345">
        <f t="shared" si="82"/>
        <v>0</v>
      </c>
      <c r="O345" s="40"/>
      <c r="P345" s="155" t="s">
        <v>542</v>
      </c>
    </row>
    <row r="346" spans="2:16" ht="15" x14ac:dyDescent="0.35">
      <c r="B346" t="str">
        <f t="shared" si="78"/>
        <v>iBoxx MSCI EUR High Yield Paris Aligned Capped TCA Index102</v>
      </c>
      <c r="C346" t="s">
        <v>540</v>
      </c>
      <c r="D346" t="s">
        <v>238</v>
      </c>
      <c r="E346" t="s">
        <v>541</v>
      </c>
      <c r="F346">
        <v>102</v>
      </c>
      <c r="G346" t="s">
        <v>535</v>
      </c>
      <c r="H346" s="26">
        <v>48029</v>
      </c>
      <c r="J346" s="33">
        <f t="shared" si="79"/>
        <v>0</v>
      </c>
      <c r="K346" s="33">
        <f t="shared" si="80"/>
        <v>5875533.2683820408</v>
      </c>
      <c r="L346">
        <f t="shared" si="81"/>
        <v>0</v>
      </c>
      <c r="M346">
        <f t="shared" si="82"/>
        <v>0</v>
      </c>
      <c r="O346" s="40"/>
      <c r="P346" s="155" t="s">
        <v>542</v>
      </c>
    </row>
    <row r="347" spans="2:16" ht="15" x14ac:dyDescent="0.35">
      <c r="B347" t="str">
        <f t="shared" si="78"/>
        <v>iBoxx MSCI EUR High Yield Paris Aligned Capped TCA Index103</v>
      </c>
      <c r="C347" t="s">
        <v>540</v>
      </c>
      <c r="D347" t="s">
        <v>238</v>
      </c>
      <c r="E347" t="s">
        <v>541</v>
      </c>
      <c r="F347">
        <v>103</v>
      </c>
      <c r="G347" t="s">
        <v>535</v>
      </c>
      <c r="H347" s="26">
        <v>48060</v>
      </c>
      <c r="J347" s="33">
        <f t="shared" si="79"/>
        <v>0</v>
      </c>
      <c r="K347" s="33">
        <f t="shared" si="80"/>
        <v>5840107.8682541875</v>
      </c>
      <c r="L347">
        <f t="shared" si="81"/>
        <v>0</v>
      </c>
      <c r="M347">
        <f t="shared" si="82"/>
        <v>0</v>
      </c>
      <c r="O347" s="40"/>
      <c r="P347" s="155" t="s">
        <v>542</v>
      </c>
    </row>
    <row r="348" spans="2:16" ht="15" x14ac:dyDescent="0.35">
      <c r="B348" t="str">
        <f t="shared" si="78"/>
        <v>iBoxx MSCI EUR High Yield Paris Aligned Capped TCA Index104</v>
      </c>
      <c r="C348" t="s">
        <v>540</v>
      </c>
      <c r="D348" t="s">
        <v>238</v>
      </c>
      <c r="E348" t="s">
        <v>541</v>
      </c>
      <c r="F348">
        <v>104</v>
      </c>
      <c r="G348" t="s">
        <v>535</v>
      </c>
      <c r="H348" s="26">
        <v>48091</v>
      </c>
      <c r="J348" s="33">
        <f t="shared" si="79"/>
        <v>0</v>
      </c>
      <c r="K348" s="33">
        <f t="shared" si="80"/>
        <v>5804896.0587770715</v>
      </c>
      <c r="L348">
        <f t="shared" si="81"/>
        <v>0</v>
      </c>
      <c r="M348">
        <f t="shared" si="82"/>
        <v>0</v>
      </c>
      <c r="O348" s="40"/>
      <c r="P348" s="155" t="s">
        <v>542</v>
      </c>
    </row>
    <row r="349" spans="2:16" ht="15" x14ac:dyDescent="0.35">
      <c r="B349" t="str">
        <f t="shared" si="78"/>
        <v>iBoxx MSCI EUR High Yield Paris Aligned Capped TCA Index105</v>
      </c>
      <c r="C349" t="s">
        <v>540</v>
      </c>
      <c r="D349" t="s">
        <v>238</v>
      </c>
      <c r="E349" t="s">
        <v>541</v>
      </c>
      <c r="F349">
        <v>105</v>
      </c>
      <c r="G349" t="s">
        <v>535</v>
      </c>
      <c r="H349" s="26">
        <v>48121</v>
      </c>
      <c r="J349" s="33">
        <f t="shared" si="79"/>
        <v>0</v>
      </c>
      <c r="K349" s="33">
        <f t="shared" si="80"/>
        <v>5769896.5521468576</v>
      </c>
      <c r="L349">
        <f t="shared" si="81"/>
        <v>0</v>
      </c>
      <c r="M349">
        <f t="shared" si="82"/>
        <v>0</v>
      </c>
      <c r="O349" s="40"/>
      <c r="P349" s="155" t="s">
        <v>542</v>
      </c>
    </row>
    <row r="350" spans="2:16" ht="15" x14ac:dyDescent="0.35">
      <c r="B350" t="str">
        <f t="shared" si="78"/>
        <v>iBoxx MSCI EUR High Yield Paris Aligned Capped TCA Index106</v>
      </c>
      <c r="C350" t="s">
        <v>540</v>
      </c>
      <c r="D350" t="s">
        <v>238</v>
      </c>
      <c r="E350" t="s">
        <v>541</v>
      </c>
      <c r="F350">
        <v>106</v>
      </c>
      <c r="G350" t="s">
        <v>535</v>
      </c>
      <c r="H350" s="26">
        <v>48152</v>
      </c>
      <c r="J350" s="33">
        <f t="shared" si="79"/>
        <v>0</v>
      </c>
      <c r="K350" s="33">
        <f t="shared" si="80"/>
        <v>5735108.0683242809</v>
      </c>
      <c r="L350">
        <f t="shared" si="81"/>
        <v>0</v>
      </c>
      <c r="M350">
        <f t="shared" si="82"/>
        <v>0</v>
      </c>
      <c r="O350" s="40"/>
      <c r="P350" s="155" t="s">
        <v>542</v>
      </c>
    </row>
    <row r="351" spans="2:16" ht="15" x14ac:dyDescent="0.35">
      <c r="B351" t="str">
        <f t="shared" si="78"/>
        <v>iBoxx MSCI EUR High Yield Paris Aligned Capped TCA Index107</v>
      </c>
      <c r="C351" t="s">
        <v>540</v>
      </c>
      <c r="D351" t="s">
        <v>238</v>
      </c>
      <c r="E351" t="s">
        <v>541</v>
      </c>
      <c r="F351">
        <v>107</v>
      </c>
      <c r="G351" t="s">
        <v>535</v>
      </c>
      <c r="H351" s="26">
        <v>48182</v>
      </c>
      <c r="J351" s="33">
        <f t="shared" si="79"/>
        <v>0</v>
      </c>
      <c r="K351" s="33">
        <f t="shared" si="80"/>
        <v>5700529.3349878248</v>
      </c>
      <c r="L351">
        <f t="shared" si="81"/>
        <v>0</v>
      </c>
      <c r="M351">
        <f t="shared" si="82"/>
        <v>0</v>
      </c>
      <c r="O351" s="40"/>
      <c r="P351" s="155" t="s">
        <v>542</v>
      </c>
    </row>
    <row r="352" spans="2:16" ht="15" x14ac:dyDescent="0.35">
      <c r="B352" t="str">
        <f t="shared" si="78"/>
        <v>iBoxx MSCI EUR High Yield Paris Aligned Capped TCA Index108</v>
      </c>
      <c r="C352" t="s">
        <v>540</v>
      </c>
      <c r="D352" t="s">
        <v>238</v>
      </c>
      <c r="E352" t="s">
        <v>541</v>
      </c>
      <c r="F352">
        <v>108</v>
      </c>
      <c r="G352" t="s">
        <v>535</v>
      </c>
      <c r="H352" s="26">
        <v>48213</v>
      </c>
      <c r="J352" s="33">
        <f t="shared" si="79"/>
        <v>0</v>
      </c>
      <c r="K352" s="33">
        <f t="shared" si="80"/>
        <v>5666159.0874871891</v>
      </c>
      <c r="L352">
        <f t="shared" si="81"/>
        <v>0</v>
      </c>
      <c r="M352">
        <f t="shared" si="82"/>
        <v>0</v>
      </c>
      <c r="O352" s="40"/>
      <c r="P352" s="155" t="s">
        <v>542</v>
      </c>
    </row>
    <row r="353" spans="1:16" ht="15" x14ac:dyDescent="0.35">
      <c r="B353" t="str">
        <f t="shared" si="78"/>
        <v>iBoxx MSCI EUR High Yield Paris Aligned Capped TCA Index109</v>
      </c>
      <c r="C353" t="s">
        <v>540</v>
      </c>
      <c r="D353" t="s">
        <v>238</v>
      </c>
      <c r="E353" t="s">
        <v>541</v>
      </c>
      <c r="F353">
        <v>109</v>
      </c>
      <c r="G353" t="s">
        <v>535</v>
      </c>
      <c r="H353" s="26">
        <v>48244</v>
      </c>
      <c r="J353" s="33">
        <f t="shared" si="79"/>
        <v>0</v>
      </c>
      <c r="K353" s="33">
        <f t="shared" si="80"/>
        <v>5631996.0687970435</v>
      </c>
      <c r="L353">
        <f t="shared" si="81"/>
        <v>0</v>
      </c>
      <c r="M353">
        <f t="shared" si="82"/>
        <v>0</v>
      </c>
      <c r="O353" s="40"/>
      <c r="P353" s="155" t="s">
        <v>542</v>
      </c>
    </row>
    <row r="354" spans="1:16" ht="15" x14ac:dyDescent="0.35">
      <c r="B354" t="str">
        <f t="shared" si="78"/>
        <v>iBoxx MSCI EUR High Yield Paris Aligned Capped TCA Index110</v>
      </c>
      <c r="C354" t="s">
        <v>540</v>
      </c>
      <c r="D354" t="s">
        <v>238</v>
      </c>
      <c r="E354" t="s">
        <v>541</v>
      </c>
      <c r="F354">
        <v>110</v>
      </c>
      <c r="G354" t="s">
        <v>535</v>
      </c>
      <c r="H354" s="26">
        <v>48272</v>
      </c>
      <c r="J354" s="33">
        <f t="shared" si="79"/>
        <v>0</v>
      </c>
      <c r="K354" s="33">
        <f t="shared" si="80"/>
        <v>5598039.0294710519</v>
      </c>
      <c r="L354">
        <f t="shared" si="81"/>
        <v>0</v>
      </c>
      <c r="M354">
        <f t="shared" si="82"/>
        <v>0</v>
      </c>
      <c r="O354" s="40"/>
      <c r="P354" s="155" t="s">
        <v>542</v>
      </c>
    </row>
    <row r="355" spans="1:16" ht="15" x14ac:dyDescent="0.35">
      <c r="B355" t="str">
        <f t="shared" si="78"/>
        <v>iBoxx MSCI EUR High Yield Paris Aligned Capped TCA Index111</v>
      </c>
      <c r="C355" t="s">
        <v>540</v>
      </c>
      <c r="D355" t="s">
        <v>238</v>
      </c>
      <c r="E355" t="s">
        <v>541</v>
      </c>
      <c r="F355">
        <v>111</v>
      </c>
      <c r="G355" t="s">
        <v>535</v>
      </c>
      <c r="H355" s="26">
        <v>48304</v>
      </c>
      <c r="J355" s="33">
        <f t="shared" si="79"/>
        <v>0</v>
      </c>
      <c r="K355" s="33">
        <f t="shared" si="80"/>
        <v>5564286.7275961684</v>
      </c>
      <c r="L355">
        <f t="shared" si="81"/>
        <v>0</v>
      </c>
      <c r="M355">
        <f t="shared" si="82"/>
        <v>0</v>
      </c>
      <c r="O355" s="40"/>
      <c r="P355" s="155" t="s">
        <v>542</v>
      </c>
    </row>
    <row r="356" spans="1:16" ht="15" x14ac:dyDescent="0.35">
      <c r="B356" t="str">
        <f t="shared" si="78"/>
        <v>iBoxx MSCI EUR High Yield Paris Aligned Capped TCA Index112</v>
      </c>
      <c r="C356" t="s">
        <v>540</v>
      </c>
      <c r="D356" t="s">
        <v>238</v>
      </c>
      <c r="E356" t="s">
        <v>541</v>
      </c>
      <c r="F356">
        <v>112</v>
      </c>
      <c r="G356" t="s">
        <v>535</v>
      </c>
      <c r="H356" s="26">
        <v>48334</v>
      </c>
      <c r="J356" s="33">
        <f t="shared" si="79"/>
        <v>0</v>
      </c>
      <c r="K356" s="33">
        <f t="shared" si="80"/>
        <v>5530737.9287472293</v>
      </c>
      <c r="L356">
        <f t="shared" si="81"/>
        <v>0</v>
      </c>
      <c r="M356">
        <f t="shared" si="82"/>
        <v>0</v>
      </c>
      <c r="O356" s="40"/>
      <c r="P356" s="155" t="s">
        <v>542</v>
      </c>
    </row>
    <row r="357" spans="1:16" ht="15" x14ac:dyDescent="0.35">
      <c r="B357" t="str">
        <f t="shared" si="78"/>
        <v>iBoxx MSCI EUR High Yield Paris Aligned Capped TCA Index113</v>
      </c>
      <c r="C357" t="s">
        <v>540</v>
      </c>
      <c r="D357" t="s">
        <v>238</v>
      </c>
      <c r="E357" t="s">
        <v>541</v>
      </c>
      <c r="F357">
        <v>113</v>
      </c>
      <c r="G357" t="s">
        <v>535</v>
      </c>
      <c r="H357" s="26">
        <v>48365</v>
      </c>
      <c r="J357" s="33">
        <f t="shared" si="79"/>
        <v>0</v>
      </c>
      <c r="K357" s="33">
        <f t="shared" si="80"/>
        <v>5497391.4059417993</v>
      </c>
      <c r="L357">
        <f t="shared" si="81"/>
        <v>0</v>
      </c>
      <c r="M357">
        <f t="shared" si="82"/>
        <v>0</v>
      </c>
      <c r="O357" s="40"/>
      <c r="P357" s="155" t="s">
        <v>542</v>
      </c>
    </row>
    <row r="358" spans="1:16" ht="15" x14ac:dyDescent="0.35">
      <c r="B358" t="str">
        <f t="shared" si="78"/>
        <v>iBoxx MSCI EUR High Yield Paris Aligned Capped TCA Index114</v>
      </c>
      <c r="C358" t="s">
        <v>540</v>
      </c>
      <c r="D358" t="s">
        <v>238</v>
      </c>
      <c r="E358" t="s">
        <v>541</v>
      </c>
      <c r="F358">
        <v>114</v>
      </c>
      <c r="G358" t="s">
        <v>535</v>
      </c>
      <c r="H358" s="26">
        <v>48395</v>
      </c>
      <c r="J358" s="33">
        <f t="shared" si="79"/>
        <v>0</v>
      </c>
      <c r="K358" s="33">
        <f t="shared" si="80"/>
        <v>5464245.9395952979</v>
      </c>
      <c r="L358">
        <f t="shared" si="81"/>
        <v>0</v>
      </c>
      <c r="M358">
        <f t="shared" si="82"/>
        <v>0</v>
      </c>
      <c r="O358" s="40"/>
      <c r="P358" s="155" t="s">
        <v>542</v>
      </c>
    </row>
    <row r="359" spans="1:16" ht="15" x14ac:dyDescent="0.35">
      <c r="B359" t="str">
        <f t="shared" si="78"/>
        <v>iBoxx MSCI EUR High Yield Paris Aligned Capped TCA Index115</v>
      </c>
      <c r="C359" t="s">
        <v>540</v>
      </c>
      <c r="D359" t="s">
        <v>238</v>
      </c>
      <c r="E359" t="s">
        <v>541</v>
      </c>
      <c r="F359">
        <v>115</v>
      </c>
      <c r="G359" t="s">
        <v>535</v>
      </c>
      <c r="H359" s="26">
        <v>48426</v>
      </c>
      <c r="J359" s="33">
        <f t="shared" si="79"/>
        <v>0</v>
      </c>
      <c r="K359" s="33">
        <f t="shared" si="80"/>
        <v>5431300.3174763946</v>
      </c>
      <c r="L359">
        <f t="shared" si="81"/>
        <v>0</v>
      </c>
      <c r="M359">
        <f t="shared" si="82"/>
        <v>0</v>
      </c>
      <c r="O359" s="40"/>
      <c r="P359" s="155" t="s">
        <v>542</v>
      </c>
    </row>
    <row r="360" spans="1:16" ht="15" x14ac:dyDescent="0.35">
      <c r="B360" t="str">
        <f t="shared" si="78"/>
        <v>iBoxx MSCI EUR High Yield Paris Aligned Capped TCA Index116</v>
      </c>
      <c r="C360" t="s">
        <v>540</v>
      </c>
      <c r="D360" t="s">
        <v>238</v>
      </c>
      <c r="E360" t="s">
        <v>541</v>
      </c>
      <c r="F360">
        <v>116</v>
      </c>
      <c r="G360" t="s">
        <v>535</v>
      </c>
      <c r="H360" s="26">
        <v>48457</v>
      </c>
      <c r="J360" s="33">
        <f t="shared" si="79"/>
        <v>0</v>
      </c>
      <c r="K360" s="33">
        <f t="shared" si="80"/>
        <v>5398553.3346626768</v>
      </c>
      <c r="L360">
        <f t="shared" si="81"/>
        <v>0</v>
      </c>
      <c r="M360">
        <f t="shared" si="82"/>
        <v>0</v>
      </c>
      <c r="O360" s="40"/>
      <c r="P360" s="155" t="s">
        <v>542</v>
      </c>
    </row>
    <row r="361" spans="1:16" ht="15" x14ac:dyDescent="0.35">
      <c r="B361" t="str">
        <f t="shared" si="78"/>
        <v>iBoxx MSCI EUR High Yield Paris Aligned Capped TCA Index117</v>
      </c>
      <c r="C361" t="s">
        <v>540</v>
      </c>
      <c r="D361" t="s">
        <v>238</v>
      </c>
      <c r="E361" t="s">
        <v>541</v>
      </c>
      <c r="F361">
        <v>117</v>
      </c>
      <c r="G361" t="s">
        <v>535</v>
      </c>
      <c r="H361" s="26">
        <v>48487</v>
      </c>
      <c r="J361" s="33">
        <f t="shared" si="79"/>
        <v>0</v>
      </c>
      <c r="K361" s="33">
        <f t="shared" si="80"/>
        <v>5366003.7934965789</v>
      </c>
      <c r="L361">
        <f t="shared" si="81"/>
        <v>0</v>
      </c>
      <c r="M361">
        <f t="shared" si="82"/>
        <v>0</v>
      </c>
      <c r="O361" s="40"/>
      <c r="P361" s="155" t="s">
        <v>542</v>
      </c>
    </row>
    <row r="362" spans="1:16" ht="15" x14ac:dyDescent="0.35">
      <c r="B362" t="str">
        <f t="shared" si="78"/>
        <v>iBoxx MSCI EUR High Yield Paris Aligned Capped TCA Index118</v>
      </c>
      <c r="C362" t="s">
        <v>540</v>
      </c>
      <c r="D362" t="s">
        <v>238</v>
      </c>
      <c r="E362" t="s">
        <v>541</v>
      </c>
      <c r="F362">
        <v>118</v>
      </c>
      <c r="G362" t="s">
        <v>535</v>
      </c>
      <c r="H362" s="26">
        <v>48518</v>
      </c>
      <c r="J362" s="33">
        <f t="shared" si="79"/>
        <v>0</v>
      </c>
      <c r="K362" s="33">
        <f t="shared" si="80"/>
        <v>5333650.5035415813</v>
      </c>
      <c r="L362">
        <f t="shared" si="81"/>
        <v>0</v>
      </c>
      <c r="M362">
        <f t="shared" si="82"/>
        <v>0</v>
      </c>
      <c r="O362" s="40"/>
      <c r="P362" s="155" t="s">
        <v>542</v>
      </c>
    </row>
    <row r="363" spans="1:16" ht="15" x14ac:dyDescent="0.35">
      <c r="B363" t="str">
        <f t="shared" si="78"/>
        <v>iBoxx MSCI EUR High Yield Paris Aligned Capped TCA Index119</v>
      </c>
      <c r="C363" t="s">
        <v>540</v>
      </c>
      <c r="D363" t="s">
        <v>238</v>
      </c>
      <c r="E363" t="s">
        <v>541</v>
      </c>
      <c r="F363">
        <v>119</v>
      </c>
      <c r="G363" t="s">
        <v>535</v>
      </c>
      <c r="H363" s="26">
        <v>48548</v>
      </c>
      <c r="J363" s="33">
        <f t="shared" si="79"/>
        <v>0</v>
      </c>
      <c r="K363" s="33">
        <f t="shared" si="80"/>
        <v>5301492.2815386774</v>
      </c>
      <c r="L363">
        <f t="shared" si="81"/>
        <v>0</v>
      </c>
      <c r="M363">
        <f t="shared" si="82"/>
        <v>0</v>
      </c>
      <c r="O363" s="40"/>
      <c r="P363" s="155" t="s">
        <v>542</v>
      </c>
    </row>
    <row r="364" spans="1:16" ht="15" x14ac:dyDescent="0.35">
      <c r="A364" t="s">
        <v>543</v>
      </c>
      <c r="B364" t="str">
        <f t="shared" si="78"/>
        <v>iBoxx MSCI GBP Corporates Paris Aligned Capped TCA Index0</v>
      </c>
      <c r="C364" t="s">
        <v>544</v>
      </c>
      <c r="D364" t="s">
        <v>545</v>
      </c>
      <c r="E364" t="s">
        <v>546</v>
      </c>
      <c r="F364">
        <v>0</v>
      </c>
      <c r="G364" t="s">
        <v>535</v>
      </c>
      <c r="H364" s="26">
        <v>44651</v>
      </c>
      <c r="I364" s="33">
        <v>38811702.4108513</v>
      </c>
      <c r="J364" s="33">
        <f t="shared" si="79"/>
        <v>19405851.20542565</v>
      </c>
      <c r="K364" s="33">
        <f t="shared" si="80"/>
        <v>19405851.20542565</v>
      </c>
      <c r="L364" s="33">
        <f t="shared" si="81"/>
        <v>19405851.20542565</v>
      </c>
      <c r="M364" s="33">
        <f t="shared" si="82"/>
        <v>18920704.925290007</v>
      </c>
      <c r="N364" s="33">
        <v>18637944.518108599</v>
      </c>
      <c r="O364" s="156">
        <v>0.28533886600000002</v>
      </c>
      <c r="P364" s="155" t="s">
        <v>547</v>
      </c>
    </row>
    <row r="365" spans="1:16" ht="15" x14ac:dyDescent="0.35">
      <c r="A365" t="s">
        <v>543</v>
      </c>
      <c r="B365" t="str">
        <f t="shared" ref="B365:B428" si="83">_xlfn.CONCAT(C365,F365)</f>
        <v>iBoxx MSCI GBP Corporates Paris Aligned Capped TCA Index1</v>
      </c>
      <c r="C365" t="s">
        <v>544</v>
      </c>
      <c r="D365" t="s">
        <v>545</v>
      </c>
      <c r="E365" t="s">
        <v>546</v>
      </c>
      <c r="F365">
        <v>1</v>
      </c>
      <c r="G365" t="s">
        <v>535</v>
      </c>
      <c r="H365" s="26">
        <v>44681</v>
      </c>
      <c r="I365" s="33">
        <v>39030877.017535798</v>
      </c>
      <c r="J365" s="33">
        <f t="shared" si="79"/>
        <v>19515438.508767899</v>
      </c>
      <c r="K365" s="33">
        <f t="shared" si="80"/>
        <v>19288847.350222718</v>
      </c>
      <c r="L365" s="33">
        <f t="shared" si="81"/>
        <v>19288847.350222718</v>
      </c>
      <c r="M365" s="33">
        <f t="shared" si="82"/>
        <v>18806626.166467149</v>
      </c>
      <c r="N365" s="33">
        <v>18062431.343655799</v>
      </c>
      <c r="O365" s="156">
        <v>0.29341237399999998</v>
      </c>
      <c r="P365" s="155" t="s">
        <v>547</v>
      </c>
    </row>
    <row r="366" spans="1:16" ht="15" x14ac:dyDescent="0.35">
      <c r="A366" t="s">
        <v>543</v>
      </c>
      <c r="B366" t="str">
        <f t="shared" si="83"/>
        <v>iBoxx MSCI GBP Corporates Paris Aligned Capped TCA Index2</v>
      </c>
      <c r="C366" t="s">
        <v>544</v>
      </c>
      <c r="D366" t="s">
        <v>545</v>
      </c>
      <c r="E366" t="s">
        <v>546</v>
      </c>
      <c r="F366">
        <v>2</v>
      </c>
      <c r="G366" t="s">
        <v>535</v>
      </c>
      <c r="H366" s="26">
        <v>44712</v>
      </c>
      <c r="I366" s="33">
        <v>38525742.904932402</v>
      </c>
      <c r="J366" s="33">
        <f t="shared" si="79"/>
        <v>19262871.452466201</v>
      </c>
      <c r="K366" s="33">
        <f t="shared" si="80"/>
        <v>19172548.947307728</v>
      </c>
      <c r="L366" s="33">
        <f t="shared" si="81"/>
        <v>19172548.947307728</v>
      </c>
      <c r="M366" s="33">
        <f t="shared" si="82"/>
        <v>18693235.223625034</v>
      </c>
      <c r="N366" s="33">
        <v>17953527.380662899</v>
      </c>
      <c r="O366" s="156">
        <v>0.29203029600000002</v>
      </c>
      <c r="P366" s="155" t="s">
        <v>547</v>
      </c>
    </row>
    <row r="367" spans="1:16" ht="15" x14ac:dyDescent="0.35">
      <c r="A367" t="s">
        <v>543</v>
      </c>
      <c r="B367" t="str">
        <f t="shared" si="83"/>
        <v>iBoxx MSCI GBP Corporates Paris Aligned Capped TCA Index3</v>
      </c>
      <c r="C367" t="s">
        <v>544</v>
      </c>
      <c r="D367" t="s">
        <v>545</v>
      </c>
      <c r="E367" t="s">
        <v>546</v>
      </c>
      <c r="F367">
        <v>3</v>
      </c>
      <c r="G367" t="s">
        <v>535</v>
      </c>
      <c r="H367" s="26">
        <v>44742</v>
      </c>
      <c r="I367" s="33">
        <v>35797405.459961303</v>
      </c>
      <c r="J367" s="33">
        <f t="shared" si="79"/>
        <v>17898702.729980651</v>
      </c>
      <c r="K367" s="33">
        <f t="shared" si="80"/>
        <v>19056951.743291516</v>
      </c>
      <c r="L367" s="33">
        <f t="shared" si="81"/>
        <v>17898702.729980651</v>
      </c>
      <c r="M367" s="33">
        <f t="shared" si="82"/>
        <v>17451235.161731135</v>
      </c>
      <c r="N367" s="33">
        <v>17451235.161730301</v>
      </c>
      <c r="O367" s="156">
        <v>0.29099063200000003</v>
      </c>
      <c r="P367" s="155" t="s">
        <v>547</v>
      </c>
    </row>
    <row r="368" spans="1:16" ht="15" x14ac:dyDescent="0.35">
      <c r="A368" t="s">
        <v>543</v>
      </c>
      <c r="B368" t="str">
        <f t="shared" si="83"/>
        <v>iBoxx MSCI GBP Corporates Paris Aligned Capped TCA Index4</v>
      </c>
      <c r="C368" t="s">
        <v>544</v>
      </c>
      <c r="D368" t="s">
        <v>545</v>
      </c>
      <c r="E368" t="s">
        <v>546</v>
      </c>
      <c r="F368">
        <v>4</v>
      </c>
      <c r="G368" t="s">
        <v>535</v>
      </c>
      <c r="H368" s="26">
        <v>44773</v>
      </c>
      <c r="I368" s="33">
        <v>41456638.966018103</v>
      </c>
      <c r="J368" s="33">
        <f t="shared" si="79"/>
        <v>20728319.483009052</v>
      </c>
      <c r="K368" s="33">
        <f t="shared" si="80"/>
        <v>18942051.510429896</v>
      </c>
      <c r="L368" s="33">
        <f t="shared" si="81"/>
        <v>18942051.510429896</v>
      </c>
      <c r="M368" s="33">
        <f t="shared" si="82"/>
        <v>18468500.222669147</v>
      </c>
      <c r="N368" s="33">
        <v>17737685.3421624</v>
      </c>
      <c r="O368" s="156">
        <v>0.28211615099999998</v>
      </c>
      <c r="P368" s="155" t="s">
        <v>547</v>
      </c>
    </row>
    <row r="369" spans="1:16" ht="15" x14ac:dyDescent="0.35">
      <c r="A369" t="s">
        <v>543</v>
      </c>
      <c r="B369" t="str">
        <f t="shared" si="83"/>
        <v>iBoxx MSCI GBP Corporates Paris Aligned Capped TCA Index5</v>
      </c>
      <c r="C369" t="s">
        <v>544</v>
      </c>
      <c r="D369" t="s">
        <v>545</v>
      </c>
      <c r="E369" t="s">
        <v>546</v>
      </c>
      <c r="F369">
        <v>5</v>
      </c>
      <c r="G369" t="s">
        <v>535</v>
      </c>
      <c r="H369" s="26">
        <v>44804</v>
      </c>
      <c r="I369" s="33">
        <v>41207952.271033302</v>
      </c>
      <c r="J369" s="33">
        <f t="shared" si="79"/>
        <v>20603976.135516651</v>
      </c>
      <c r="K369" s="33">
        <f t="shared" si="80"/>
        <v>18827844.04646907</v>
      </c>
      <c r="L369" s="33">
        <f t="shared" si="81"/>
        <v>18827844.04646907</v>
      </c>
      <c r="M369" s="33">
        <f t="shared" si="82"/>
        <v>18357147.945307344</v>
      </c>
      <c r="N369" s="33">
        <v>17630739.373056501</v>
      </c>
      <c r="O369" s="156">
        <v>0.27847586899999999</v>
      </c>
      <c r="P369" s="155" t="s">
        <v>547</v>
      </c>
    </row>
    <row r="370" spans="1:16" ht="15" x14ac:dyDescent="0.35">
      <c r="A370" t="s">
        <v>543</v>
      </c>
      <c r="B370" t="str">
        <f t="shared" si="83"/>
        <v>iBoxx MSCI GBP Corporates Paris Aligned Capped TCA Index6</v>
      </c>
      <c r="C370" t="s">
        <v>544</v>
      </c>
      <c r="D370" t="s">
        <v>545</v>
      </c>
      <c r="E370" t="s">
        <v>546</v>
      </c>
      <c r="F370">
        <v>6</v>
      </c>
      <c r="G370" t="s">
        <v>535</v>
      </c>
      <c r="H370" s="26">
        <v>44834</v>
      </c>
      <c r="I370" s="33">
        <v>36744368.285252102</v>
      </c>
      <c r="J370" s="33">
        <f t="shared" si="79"/>
        <v>18372184.142626051</v>
      </c>
      <c r="K370" s="33">
        <f t="shared" si="80"/>
        <v>18714325.174491912</v>
      </c>
      <c r="L370" s="33">
        <f t="shared" si="81"/>
        <v>18372184.142626051</v>
      </c>
      <c r="M370" s="33">
        <f t="shared" si="82"/>
        <v>17912879.539060399</v>
      </c>
      <c r="N370" s="33">
        <v>17524438.213939499</v>
      </c>
      <c r="O370" s="156">
        <v>0.271962274</v>
      </c>
      <c r="P370" s="155" t="s">
        <v>547</v>
      </c>
    </row>
    <row r="371" spans="1:16" ht="15" x14ac:dyDescent="0.35">
      <c r="A371" t="s">
        <v>543</v>
      </c>
      <c r="B371" t="str">
        <f t="shared" si="83"/>
        <v>iBoxx MSCI GBP Corporates Paris Aligned Capped TCA Index7</v>
      </c>
      <c r="C371" t="s">
        <v>544</v>
      </c>
      <c r="D371" t="s">
        <v>545</v>
      </c>
      <c r="E371" t="s">
        <v>546</v>
      </c>
      <c r="F371">
        <v>7</v>
      </c>
      <c r="G371" t="s">
        <v>535</v>
      </c>
      <c r="H371" s="26">
        <v>44865</v>
      </c>
      <c r="I371" s="33">
        <v>38375793.915126503</v>
      </c>
      <c r="J371" s="33">
        <f t="shared" si="79"/>
        <v>19187896.957563251</v>
      </c>
      <c r="K371" s="33">
        <f t="shared" si="80"/>
        <v>18601490.742765225</v>
      </c>
      <c r="L371" s="33">
        <f t="shared" si="81"/>
        <v>18601490.742765225</v>
      </c>
      <c r="M371" s="33">
        <f t="shared" si="82"/>
        <v>18136453.474196095</v>
      </c>
      <c r="N371" s="33">
        <v>17418777.977263201</v>
      </c>
      <c r="O371" s="156">
        <v>0.32262286499999998</v>
      </c>
      <c r="P371" s="155" t="s">
        <v>547</v>
      </c>
    </row>
    <row r="372" spans="1:16" ht="15" x14ac:dyDescent="0.35">
      <c r="A372" t="s">
        <v>543</v>
      </c>
      <c r="B372" t="str">
        <f t="shared" si="83"/>
        <v>iBoxx MSCI GBP Corporates Paris Aligned Capped TCA Index8</v>
      </c>
      <c r="C372" t="s">
        <v>544</v>
      </c>
      <c r="D372" t="s">
        <v>545</v>
      </c>
      <c r="E372" t="s">
        <v>546</v>
      </c>
      <c r="F372">
        <v>8</v>
      </c>
      <c r="G372" t="s">
        <v>535</v>
      </c>
      <c r="H372" s="26">
        <v>44895</v>
      </c>
      <c r="I372" s="33">
        <v>37097339.962536603</v>
      </c>
      <c r="J372" s="33">
        <f t="shared" si="79"/>
        <v>18548669.981268302</v>
      </c>
      <c r="K372" s="33">
        <f t="shared" si="80"/>
        <v>18489336.624587886</v>
      </c>
      <c r="L372" s="33">
        <f t="shared" si="81"/>
        <v>18489336.624587886</v>
      </c>
      <c r="M372" s="33">
        <f t="shared" si="82"/>
        <v>18027103.208973188</v>
      </c>
      <c r="N372" s="33">
        <v>17313754.798705101</v>
      </c>
      <c r="O372" s="156">
        <v>0.26750684600000002</v>
      </c>
      <c r="P372" s="155" t="s">
        <v>547</v>
      </c>
    </row>
    <row r="373" spans="1:16" ht="15" x14ac:dyDescent="0.35">
      <c r="A373" t="s">
        <v>543</v>
      </c>
      <c r="B373" t="str">
        <f t="shared" si="83"/>
        <v>iBoxx MSCI GBP Corporates Paris Aligned Capped TCA Index9</v>
      </c>
      <c r="C373" t="s">
        <v>544</v>
      </c>
      <c r="D373" t="s">
        <v>545</v>
      </c>
      <c r="E373" t="s">
        <v>546</v>
      </c>
      <c r="F373">
        <v>9</v>
      </c>
      <c r="G373" t="s">
        <v>535</v>
      </c>
      <c r="H373" s="26">
        <v>44926</v>
      </c>
      <c r="I373" s="33">
        <v>36723682.998461403</v>
      </c>
      <c r="J373" s="33">
        <f t="shared" si="79"/>
        <v>18361841.499230701</v>
      </c>
      <c r="K373" s="33">
        <f t="shared" si="80"/>
        <v>18377858.718139924</v>
      </c>
      <c r="L373" s="33">
        <f t="shared" si="81"/>
        <v>18361841.499230701</v>
      </c>
      <c r="M373" s="33">
        <f t="shared" si="82"/>
        <v>17902795.461749934</v>
      </c>
      <c r="N373" s="33">
        <v>17209364.837242499</v>
      </c>
      <c r="O373" s="156">
        <v>0.26233427300000001</v>
      </c>
      <c r="P373" s="155" t="s">
        <v>547</v>
      </c>
    </row>
    <row r="374" spans="1:16" ht="15" x14ac:dyDescent="0.35">
      <c r="A374" t="s">
        <v>543</v>
      </c>
      <c r="B374" t="str">
        <f t="shared" si="83"/>
        <v>iBoxx MSCI GBP Corporates Paris Aligned Capped TCA Index10</v>
      </c>
      <c r="C374" t="s">
        <v>544</v>
      </c>
      <c r="D374" t="s">
        <v>545</v>
      </c>
      <c r="E374" t="s">
        <v>546</v>
      </c>
      <c r="F374">
        <v>10</v>
      </c>
      <c r="G374" t="s">
        <v>535</v>
      </c>
      <c r="H374" s="26">
        <v>44957</v>
      </c>
      <c r="I374" s="33">
        <v>35918200.404645301</v>
      </c>
      <c r="J374" s="33">
        <f t="shared" si="79"/>
        <v>17959100.202322651</v>
      </c>
      <c r="K374" s="33">
        <f t="shared" si="80"/>
        <v>18267052.946332503</v>
      </c>
      <c r="L374" s="33">
        <f t="shared" si="81"/>
        <v>17959100.202322651</v>
      </c>
      <c r="M374" s="33">
        <f t="shared" si="82"/>
        <v>17510122.697264586</v>
      </c>
      <c r="N374" s="33">
        <v>17105604.2750162</v>
      </c>
      <c r="O374" s="156">
        <v>0.264217388</v>
      </c>
      <c r="P374" s="155" t="s">
        <v>547</v>
      </c>
    </row>
    <row r="375" spans="1:16" ht="15" x14ac:dyDescent="0.35">
      <c r="A375" t="s">
        <v>543</v>
      </c>
      <c r="B375" t="str">
        <f t="shared" si="83"/>
        <v>iBoxx MSCI GBP Corporates Paris Aligned Capped TCA Index11</v>
      </c>
      <c r="C375" t="s">
        <v>544</v>
      </c>
      <c r="D375" t="s">
        <v>545</v>
      </c>
      <c r="E375" t="s">
        <v>546</v>
      </c>
      <c r="F375">
        <v>11</v>
      </c>
      <c r="G375" t="s">
        <v>535</v>
      </c>
      <c r="H375" s="26">
        <v>44985</v>
      </c>
      <c r="I375" s="33">
        <v>35647692.4984475</v>
      </c>
      <c r="J375" s="33">
        <f t="shared" si="79"/>
        <v>17823846.24922375</v>
      </c>
      <c r="K375" s="33">
        <f t="shared" si="80"/>
        <v>18156915.256658811</v>
      </c>
      <c r="L375" s="33">
        <f t="shared" si="81"/>
        <v>17823846.24922375</v>
      </c>
      <c r="M375" s="33">
        <f t="shared" si="82"/>
        <v>17378250.092993155</v>
      </c>
      <c r="N375" s="33">
        <v>17002469.317184899</v>
      </c>
      <c r="O375" s="156">
        <v>0.27119350199999998</v>
      </c>
      <c r="P375" s="155" t="s">
        <v>547</v>
      </c>
    </row>
    <row r="376" spans="1:16" ht="15" x14ac:dyDescent="0.35">
      <c r="A376" t="s">
        <v>543</v>
      </c>
      <c r="B376" t="str">
        <f t="shared" si="83"/>
        <v>iBoxx MSCI GBP Corporates Paris Aligned Capped TCA Index12</v>
      </c>
      <c r="C376" t="s">
        <v>544</v>
      </c>
      <c r="D376" t="s">
        <v>545</v>
      </c>
      <c r="E376" t="s">
        <v>546</v>
      </c>
      <c r="F376">
        <v>12</v>
      </c>
      <c r="G376" t="s">
        <v>535</v>
      </c>
      <c r="H376" s="26">
        <v>45016</v>
      </c>
      <c r="I376" s="33">
        <v>36739599.914886199</v>
      </c>
      <c r="J376" s="33">
        <f t="shared" si="79"/>
        <v>18369799.957443099</v>
      </c>
      <c r="K376" s="33">
        <f t="shared" si="80"/>
        <v>18047441.621045854</v>
      </c>
      <c r="L376" s="33">
        <f t="shared" si="81"/>
        <v>18047441.621045854</v>
      </c>
      <c r="M376" s="33">
        <f t="shared" si="82"/>
        <v>17596255.580519706</v>
      </c>
      <c r="N376" s="33">
        <v>16899956.191785801</v>
      </c>
      <c r="O376" s="156">
        <v>0.26692944400000002</v>
      </c>
      <c r="P376" s="155" t="s">
        <v>547</v>
      </c>
    </row>
    <row r="377" spans="1:16" ht="15" x14ac:dyDescent="0.35">
      <c r="A377" t="s">
        <v>543</v>
      </c>
      <c r="B377" t="str">
        <f t="shared" si="83"/>
        <v>iBoxx MSCI GBP Corporates Paris Aligned Capped TCA Index13</v>
      </c>
      <c r="C377" t="s">
        <v>544</v>
      </c>
      <c r="D377" t="s">
        <v>545</v>
      </c>
      <c r="E377" t="s">
        <v>546</v>
      </c>
      <c r="F377">
        <v>13</v>
      </c>
      <c r="G377" t="s">
        <v>535</v>
      </c>
      <c r="H377" s="26">
        <v>45046</v>
      </c>
      <c r="I377" s="33">
        <v>41988438.821379602</v>
      </c>
      <c r="J377" s="33">
        <f t="shared" si="79"/>
        <v>20994219.410689801</v>
      </c>
      <c r="K377" s="33">
        <f t="shared" si="80"/>
        <v>17938628.035707127</v>
      </c>
      <c r="L377" s="33">
        <f t="shared" si="81"/>
        <v>17938628.035707127</v>
      </c>
      <c r="M377" s="33">
        <f t="shared" si="82"/>
        <v>17490162.334814448</v>
      </c>
      <c r="N377" s="33">
        <v>16798061.1495995</v>
      </c>
      <c r="O377" s="156">
        <v>0.28722115799999998</v>
      </c>
      <c r="P377" s="155" t="s">
        <v>547</v>
      </c>
    </row>
    <row r="378" spans="1:16" ht="15" x14ac:dyDescent="0.35">
      <c r="A378" t="s">
        <v>543</v>
      </c>
      <c r="B378" t="str">
        <f t="shared" si="83"/>
        <v>iBoxx MSCI GBP Corporates Paris Aligned Capped TCA Index14</v>
      </c>
      <c r="C378" t="s">
        <v>544</v>
      </c>
      <c r="D378" t="s">
        <v>545</v>
      </c>
      <c r="E378" t="s">
        <v>546</v>
      </c>
      <c r="F378">
        <v>14</v>
      </c>
      <c r="G378" t="s">
        <v>535</v>
      </c>
      <c r="H378" s="26">
        <v>45077</v>
      </c>
      <c r="I378" s="33">
        <v>40140010.051858097</v>
      </c>
      <c r="J378" s="33">
        <f t="shared" si="79"/>
        <v>20070005.025929049</v>
      </c>
      <c r="K378" s="33">
        <f t="shared" si="80"/>
        <v>17830470.520996191</v>
      </c>
      <c r="L378" s="33">
        <f t="shared" si="81"/>
        <v>17830470.520996191</v>
      </c>
      <c r="M378" s="33">
        <f t="shared" si="82"/>
        <v>17384708.757971287</v>
      </c>
      <c r="N378" s="33">
        <v>16696780.4640161</v>
      </c>
      <c r="O378" s="156">
        <v>0.28882286899999998</v>
      </c>
      <c r="P378" s="155" t="s">
        <v>547</v>
      </c>
    </row>
    <row r="379" spans="1:16" ht="15" x14ac:dyDescent="0.35">
      <c r="A379" t="s">
        <v>543</v>
      </c>
      <c r="B379" t="str">
        <f t="shared" si="83"/>
        <v>iBoxx MSCI GBP Corporates Paris Aligned Capped TCA Index15</v>
      </c>
      <c r="C379" t="s">
        <v>544</v>
      </c>
      <c r="D379" t="s">
        <v>545</v>
      </c>
      <c r="E379" t="s">
        <v>546</v>
      </c>
      <c r="F379">
        <v>15</v>
      </c>
      <c r="G379" t="s">
        <v>535</v>
      </c>
      <c r="H379" s="26">
        <v>45107</v>
      </c>
      <c r="I379" s="33">
        <v>41824094.096284002</v>
      </c>
      <c r="J379" s="33">
        <f t="shared" si="79"/>
        <v>20912047.048142001</v>
      </c>
      <c r="K379" s="33">
        <f t="shared" si="80"/>
        <v>17722965.121261109</v>
      </c>
      <c r="L379" s="33">
        <f t="shared" si="81"/>
        <v>17722965.121261109</v>
      </c>
      <c r="M379" s="33">
        <f t="shared" si="82"/>
        <v>17279890.993229579</v>
      </c>
      <c r="N379" s="33">
        <v>16596110.430885701</v>
      </c>
      <c r="O379" s="156">
        <v>0.28929765800000001</v>
      </c>
      <c r="P379" s="155" t="s">
        <v>547</v>
      </c>
    </row>
    <row r="380" spans="1:16" ht="15" x14ac:dyDescent="0.35">
      <c r="A380" t="s">
        <v>543</v>
      </c>
      <c r="B380" t="str">
        <f t="shared" si="83"/>
        <v>iBoxx MSCI GBP Corporates Paris Aligned Capped TCA Index16</v>
      </c>
      <c r="C380" t="s">
        <v>544</v>
      </c>
      <c r="D380" t="s">
        <v>545</v>
      </c>
      <c r="E380" t="s">
        <v>546</v>
      </c>
      <c r="F380">
        <v>16</v>
      </c>
      <c r="G380" t="s">
        <v>535</v>
      </c>
      <c r="H380" s="26">
        <v>45138</v>
      </c>
      <c r="I380" s="33">
        <v>39014504.108002499</v>
      </c>
      <c r="J380" s="33">
        <f t="shared" si="79"/>
        <v>19507252.054001249</v>
      </c>
      <c r="K380" s="33">
        <f t="shared" si="80"/>
        <v>17616107.904699802</v>
      </c>
      <c r="L380" s="33">
        <f t="shared" si="81"/>
        <v>17616107.904699802</v>
      </c>
      <c r="M380" s="33">
        <f t="shared" si="82"/>
        <v>17175705.207082305</v>
      </c>
      <c r="N380" s="33">
        <v>16496047.3683926</v>
      </c>
      <c r="O380" s="156">
        <v>0.26845122300000002</v>
      </c>
      <c r="P380" s="155" t="s">
        <v>547</v>
      </c>
    </row>
    <row r="381" spans="1:16" ht="15" x14ac:dyDescent="0.35">
      <c r="A381" t="s">
        <v>543</v>
      </c>
      <c r="B381" t="str">
        <f t="shared" si="83"/>
        <v>iBoxx MSCI GBP Corporates Paris Aligned Capped TCA Index17</v>
      </c>
      <c r="C381" t="s">
        <v>544</v>
      </c>
      <c r="D381" t="s">
        <v>545</v>
      </c>
      <c r="E381" t="s">
        <v>546</v>
      </c>
      <c r="F381">
        <v>17</v>
      </c>
      <c r="G381" t="s">
        <v>535</v>
      </c>
      <c r="H381" s="26">
        <v>45169</v>
      </c>
      <c r="I381" s="33">
        <v>38733688.212963499</v>
      </c>
      <c r="J381" s="33">
        <f t="shared" ref="J381:J444" si="84">IF(G381="PA",I381*0.5,IF(G381="CT",I381*0.7,""))</f>
        <v>19366844.10648175</v>
      </c>
      <c r="K381" s="33">
        <f t="shared" si="80"/>
        <v>17509894.963216234</v>
      </c>
      <c r="L381" s="33">
        <f t="shared" si="81"/>
        <v>17509894.963216234</v>
      </c>
      <c r="M381" s="33">
        <f t="shared" si="82"/>
        <v>17072147.589135829</v>
      </c>
      <c r="N381" s="33">
        <v>16396587.616943199</v>
      </c>
      <c r="O381" s="156">
        <v>0.26584661900000001</v>
      </c>
      <c r="P381" s="155" t="s">
        <v>547</v>
      </c>
    </row>
    <row r="382" spans="1:16" ht="15" x14ac:dyDescent="0.35">
      <c r="A382" t="s">
        <v>543</v>
      </c>
      <c r="B382" t="str">
        <f t="shared" si="83"/>
        <v>iBoxx MSCI GBP Corporates Paris Aligned Capped TCA Index18</v>
      </c>
      <c r="C382" t="s">
        <v>544</v>
      </c>
      <c r="D382" t="s">
        <v>545</v>
      </c>
      <c r="E382" t="s">
        <v>546</v>
      </c>
      <c r="F382">
        <v>18</v>
      </c>
      <c r="G382" t="s">
        <v>535</v>
      </c>
      <c r="H382" s="26">
        <v>45199</v>
      </c>
      <c r="I382" s="33">
        <v>37920655.649989299</v>
      </c>
      <c r="J382" s="33">
        <f t="shared" si="84"/>
        <v>18960327.82499465</v>
      </c>
      <c r="K382" s="33">
        <f t="shared" si="80"/>
        <v>17404322.412277479</v>
      </c>
      <c r="L382" s="33">
        <f t="shared" si="81"/>
        <v>17404322.412277479</v>
      </c>
      <c r="M382" s="33">
        <f t="shared" si="82"/>
        <v>16969214.351970542</v>
      </c>
      <c r="N382" s="33">
        <v>16297727.5389667</v>
      </c>
      <c r="O382" s="156">
        <v>0.26404258600000002</v>
      </c>
      <c r="P382" s="155" t="s">
        <v>547</v>
      </c>
    </row>
    <row r="383" spans="1:16" ht="15" x14ac:dyDescent="0.35">
      <c r="A383" t="s">
        <v>543</v>
      </c>
      <c r="B383" t="str">
        <f t="shared" si="83"/>
        <v>iBoxx MSCI GBP Corporates Paris Aligned Capped TCA Index19</v>
      </c>
      <c r="C383" t="s">
        <v>544</v>
      </c>
      <c r="D383" t="s">
        <v>545</v>
      </c>
      <c r="E383" t="s">
        <v>546</v>
      </c>
      <c r="F383">
        <v>19</v>
      </c>
      <c r="G383" t="s">
        <v>535</v>
      </c>
      <c r="H383" s="26">
        <v>45230</v>
      </c>
      <c r="I383" s="33">
        <v>33970669.8797663</v>
      </c>
      <c r="J383" s="33">
        <f t="shared" si="84"/>
        <v>16985334.93988315</v>
      </c>
      <c r="K383" s="33">
        <f t="shared" si="80"/>
        <v>17299386.390771661</v>
      </c>
      <c r="L383" s="33">
        <f t="shared" si="81"/>
        <v>16985334.93988315</v>
      </c>
      <c r="M383" s="33">
        <f t="shared" si="82"/>
        <v>16560701.56638607</v>
      </c>
      <c r="N383" s="33">
        <v>16199463.518856101</v>
      </c>
      <c r="O383" s="156">
        <v>0.26187502299999998</v>
      </c>
      <c r="P383" s="155" t="s">
        <v>547</v>
      </c>
    </row>
    <row r="384" spans="1:16" ht="15" x14ac:dyDescent="0.35">
      <c r="A384" t="s">
        <v>543</v>
      </c>
      <c r="B384" t="str">
        <f t="shared" si="83"/>
        <v>iBoxx MSCI GBP Corporates Paris Aligned Capped TCA Index20</v>
      </c>
      <c r="C384" t="s">
        <v>544</v>
      </c>
      <c r="D384" t="s">
        <v>545</v>
      </c>
      <c r="E384" t="s">
        <v>546</v>
      </c>
      <c r="F384">
        <v>20</v>
      </c>
      <c r="G384" t="s">
        <v>535</v>
      </c>
      <c r="H384" s="26">
        <v>45260</v>
      </c>
      <c r="I384" s="33">
        <v>34413163.203239098</v>
      </c>
      <c r="J384" s="33">
        <f t="shared" si="84"/>
        <v>17206581.601619549</v>
      </c>
      <c r="K384" s="33">
        <f t="shared" si="80"/>
        <v>17195083.060866736</v>
      </c>
      <c r="L384" s="33">
        <f t="shared" si="81"/>
        <v>17195083.060866736</v>
      </c>
      <c r="M384" s="33">
        <f t="shared" si="82"/>
        <v>16765205.984345067</v>
      </c>
      <c r="N384" s="33">
        <v>16101791.962794799</v>
      </c>
      <c r="O384" s="156">
        <v>0.26282973700000001</v>
      </c>
      <c r="P384" s="155" t="s">
        <v>547</v>
      </c>
    </row>
    <row r="385" spans="1:16" ht="15" x14ac:dyDescent="0.35">
      <c r="A385" t="s">
        <v>543</v>
      </c>
      <c r="B385" t="str">
        <f t="shared" si="83"/>
        <v>iBoxx MSCI GBP Corporates Paris Aligned Capped TCA Index21</v>
      </c>
      <c r="C385" t="s">
        <v>544</v>
      </c>
      <c r="D385" t="s">
        <v>545</v>
      </c>
      <c r="E385" t="s">
        <v>546</v>
      </c>
      <c r="F385">
        <v>21</v>
      </c>
      <c r="G385" t="s">
        <v>535</v>
      </c>
      <c r="H385" s="26">
        <v>45291</v>
      </c>
      <c r="I385" s="33">
        <v>34137345.0898332</v>
      </c>
      <c r="J385" s="33">
        <f t="shared" si="84"/>
        <v>17068672.5449166</v>
      </c>
      <c r="K385" s="33">
        <f t="shared" si="80"/>
        <v>17091408.607870132</v>
      </c>
      <c r="L385" s="33">
        <f t="shared" si="81"/>
        <v>17068672.5449166</v>
      </c>
      <c r="M385" s="33">
        <f t="shared" si="82"/>
        <v>16641955.731293684</v>
      </c>
      <c r="N385" s="33">
        <v>16002964.2930847</v>
      </c>
      <c r="O385" s="156">
        <v>0.26364655799999998</v>
      </c>
      <c r="P385" s="155" t="s">
        <v>547</v>
      </c>
    </row>
    <row r="386" spans="1:16" ht="15" x14ac:dyDescent="0.35">
      <c r="A386" t="s">
        <v>543</v>
      </c>
      <c r="B386" t="str">
        <f t="shared" si="83"/>
        <v>iBoxx MSCI GBP Corporates Paris Aligned Capped TCA Index22</v>
      </c>
      <c r="C386" t="s">
        <v>544</v>
      </c>
      <c r="D386" t="s">
        <v>545</v>
      </c>
      <c r="E386" t="s">
        <v>546</v>
      </c>
      <c r="F386">
        <v>22</v>
      </c>
      <c r="G386" t="s">
        <v>535</v>
      </c>
      <c r="H386" s="26">
        <v>45322</v>
      </c>
      <c r="I386" s="33">
        <v>33522821</v>
      </c>
      <c r="J386" s="33">
        <f t="shared" si="84"/>
        <v>16761410.5</v>
      </c>
      <c r="K386" s="33">
        <f t="shared" si="80"/>
        <v>16988359.24008923</v>
      </c>
      <c r="L386" s="33">
        <f t="shared" si="81"/>
        <v>16761410.5</v>
      </c>
      <c r="M386" s="33">
        <f t="shared" si="82"/>
        <v>16342375.237499999</v>
      </c>
      <c r="N386" s="33">
        <v>15908212</v>
      </c>
      <c r="O386" s="156">
        <v>0.26243298300000001</v>
      </c>
      <c r="P386" s="155" t="s">
        <v>547</v>
      </c>
    </row>
    <row r="387" spans="1:16" ht="15" x14ac:dyDescent="0.35">
      <c r="A387" t="s">
        <v>543</v>
      </c>
      <c r="B387" t="str">
        <f t="shared" si="83"/>
        <v>iBoxx MSCI GBP Corporates Paris Aligned Capped TCA Index23</v>
      </c>
      <c r="C387" t="s">
        <v>544</v>
      </c>
      <c r="D387" t="s">
        <v>545</v>
      </c>
      <c r="E387" t="s">
        <v>546</v>
      </c>
      <c r="F387">
        <v>23</v>
      </c>
      <c r="G387" t="s">
        <v>535</v>
      </c>
      <c r="H387" s="26">
        <v>45350</v>
      </c>
      <c r="I387" s="33">
        <v>34006422</v>
      </c>
      <c r="J387" s="33">
        <f t="shared" si="84"/>
        <v>17003211</v>
      </c>
      <c r="K387" s="33">
        <f t="shared" si="80"/>
        <v>16885931.188692696</v>
      </c>
      <c r="L387" s="33">
        <f t="shared" si="81"/>
        <v>16885931.188692696</v>
      </c>
      <c r="M387" s="33">
        <f t="shared" si="82"/>
        <v>16463782.908975378</v>
      </c>
      <c r="N387" s="33">
        <v>15812296</v>
      </c>
      <c r="O387" s="156">
        <v>0.26041977199999999</v>
      </c>
      <c r="P387" s="155" t="s">
        <v>547</v>
      </c>
    </row>
    <row r="388" spans="1:16" ht="15" x14ac:dyDescent="0.35">
      <c r="A388" t="s">
        <v>543</v>
      </c>
      <c r="B388" t="str">
        <f t="shared" si="83"/>
        <v>iBoxx MSCI GBP Corporates Paris Aligned Capped TCA Index24</v>
      </c>
      <c r="C388" t="s">
        <v>544</v>
      </c>
      <c r="D388" t="s">
        <v>545</v>
      </c>
      <c r="E388" t="s">
        <v>546</v>
      </c>
      <c r="F388">
        <v>24</v>
      </c>
      <c r="G388" t="s">
        <v>535</v>
      </c>
      <c r="H388" s="26">
        <v>45382</v>
      </c>
      <c r="I388" s="33">
        <v>33461530</v>
      </c>
      <c r="J388" s="33">
        <f t="shared" si="84"/>
        <v>16730765</v>
      </c>
      <c r="K388" s="33">
        <f t="shared" ref="K388:K451" si="85">VLOOKUP(C388,$C:$K,8,FALSE)*0.93^(F388/12)</f>
        <v>16784120.707572646</v>
      </c>
      <c r="L388" s="33">
        <f t="shared" si="81"/>
        <v>16730765</v>
      </c>
      <c r="M388" s="33">
        <f t="shared" si="82"/>
        <v>16312495.875</v>
      </c>
      <c r="N388" s="33">
        <v>15715246</v>
      </c>
      <c r="O388" s="156">
        <v>0.26077281899999999</v>
      </c>
      <c r="P388" s="155" t="s">
        <v>547</v>
      </c>
    </row>
    <row r="389" spans="1:16" ht="15" x14ac:dyDescent="0.35">
      <c r="A389" t="s">
        <v>543</v>
      </c>
      <c r="B389" t="str">
        <f t="shared" si="83"/>
        <v>iBoxx MSCI GBP Corporates Paris Aligned Capped TCA Index25</v>
      </c>
      <c r="C389" t="s">
        <v>544</v>
      </c>
      <c r="D389" t="s">
        <v>545</v>
      </c>
      <c r="E389" t="s">
        <v>546</v>
      </c>
      <c r="F389">
        <v>25</v>
      </c>
      <c r="G389" t="s">
        <v>535</v>
      </c>
      <c r="H389" s="26">
        <v>45412</v>
      </c>
      <c r="I389" s="33">
        <v>32991211</v>
      </c>
      <c r="J389" s="33">
        <f t="shared" si="84"/>
        <v>16495605.5</v>
      </c>
      <c r="K389" s="33">
        <f t="shared" si="85"/>
        <v>16682924.07320763</v>
      </c>
      <c r="L389" s="33">
        <f t="shared" ref="L389:L452" si="86">MIN(J389,K389)</f>
        <v>16495605.5</v>
      </c>
      <c r="M389" s="33">
        <f t="shared" ref="M389:M452" si="87">L389*0.975</f>
        <v>16083215.362499999</v>
      </c>
      <c r="N389" s="33">
        <v>15622197</v>
      </c>
      <c r="O389" s="156">
        <v>0.26081522299999998</v>
      </c>
      <c r="P389" s="155" t="s">
        <v>547</v>
      </c>
    </row>
    <row r="390" spans="1:16" ht="15" x14ac:dyDescent="0.35">
      <c r="A390" t="s">
        <v>543</v>
      </c>
      <c r="B390" t="str">
        <f t="shared" si="83"/>
        <v>iBoxx MSCI GBP Corporates Paris Aligned Capped TCA Index26</v>
      </c>
      <c r="C390" t="s">
        <v>544</v>
      </c>
      <c r="D390" t="s">
        <v>545</v>
      </c>
      <c r="E390" t="s">
        <v>546</v>
      </c>
      <c r="F390">
        <v>26</v>
      </c>
      <c r="G390" t="s">
        <v>535</v>
      </c>
      <c r="H390" s="26">
        <v>45443</v>
      </c>
      <c r="I390" s="33">
        <v>36333355</v>
      </c>
      <c r="J390" s="33">
        <f t="shared" si="84"/>
        <v>18166677.5</v>
      </c>
      <c r="K390" s="33">
        <f t="shared" si="85"/>
        <v>16582337.584526457</v>
      </c>
      <c r="L390" s="33">
        <f t="shared" si="86"/>
        <v>16582337.584526457</v>
      </c>
      <c r="M390" s="33">
        <f t="shared" si="87"/>
        <v>16167779.144913295</v>
      </c>
      <c r="N390" s="33">
        <v>15526313</v>
      </c>
      <c r="O390" s="156">
        <v>0.26285162899999998</v>
      </c>
      <c r="P390" s="155" t="s">
        <v>547</v>
      </c>
    </row>
    <row r="391" spans="1:16" ht="15" x14ac:dyDescent="0.35">
      <c r="A391" t="s">
        <v>543</v>
      </c>
      <c r="B391" t="str">
        <f t="shared" si="83"/>
        <v>iBoxx MSCI GBP Corporates Paris Aligned Capped TCA Index27</v>
      </c>
      <c r="C391" t="s">
        <v>544</v>
      </c>
      <c r="D391" t="s">
        <v>545</v>
      </c>
      <c r="E391" t="s">
        <v>546</v>
      </c>
      <c r="F391">
        <v>27</v>
      </c>
      <c r="G391" t="s">
        <v>535</v>
      </c>
      <c r="H391" s="26">
        <v>45473</v>
      </c>
      <c r="I391" s="33">
        <v>34513885.113776401</v>
      </c>
      <c r="J391" s="33">
        <f t="shared" si="84"/>
        <v>17256942.5568882</v>
      </c>
      <c r="K391" s="33">
        <f t="shared" si="85"/>
        <v>16482357.562772831</v>
      </c>
      <c r="L391" s="33">
        <f t="shared" si="86"/>
        <v>16482357.562772831</v>
      </c>
      <c r="M391" s="33">
        <f t="shared" si="87"/>
        <v>16070298.62370351</v>
      </c>
      <c r="N391" s="33">
        <v>15434382.6216313</v>
      </c>
      <c r="O391" s="156">
        <v>0.26180513300000002</v>
      </c>
      <c r="P391" s="155" t="s">
        <v>547</v>
      </c>
    </row>
    <row r="392" spans="1:16" ht="15" x14ac:dyDescent="0.35">
      <c r="A392" t="s">
        <v>543</v>
      </c>
      <c r="B392" t="str">
        <f t="shared" si="83"/>
        <v>iBoxx MSCI GBP Corporates Paris Aligned Capped TCA Index28</v>
      </c>
      <c r="C392" t="s">
        <v>544</v>
      </c>
      <c r="D392" t="s">
        <v>545</v>
      </c>
      <c r="E392" t="s">
        <v>546</v>
      </c>
      <c r="F392">
        <v>28</v>
      </c>
      <c r="G392" t="s">
        <v>535</v>
      </c>
      <c r="H392" s="26">
        <v>45504</v>
      </c>
      <c r="I392" s="33">
        <v>33433586</v>
      </c>
      <c r="J392" s="33">
        <f t="shared" si="84"/>
        <v>16716793</v>
      </c>
      <c r="K392" s="33">
        <f t="shared" si="85"/>
        <v>16382980.351370817</v>
      </c>
      <c r="L392" s="33">
        <f t="shared" si="86"/>
        <v>16382980.351370817</v>
      </c>
      <c r="M392" s="33">
        <f t="shared" si="87"/>
        <v>15973405.842586547</v>
      </c>
      <c r="N392" s="33">
        <v>15341324</v>
      </c>
      <c r="O392" s="156">
        <v>0.26559383800000003</v>
      </c>
      <c r="P392" s="155" t="s">
        <v>547</v>
      </c>
    </row>
    <row r="393" spans="1:16" ht="15" x14ac:dyDescent="0.35">
      <c r="A393" t="s">
        <v>543</v>
      </c>
      <c r="B393" t="str">
        <f t="shared" si="83"/>
        <v>iBoxx MSCI GBP Corporates Paris Aligned Capped TCA Index29</v>
      </c>
      <c r="C393" t="s">
        <v>544</v>
      </c>
      <c r="D393" t="s">
        <v>545</v>
      </c>
      <c r="E393" t="s">
        <v>546</v>
      </c>
      <c r="F393">
        <v>29</v>
      </c>
      <c r="G393" t="s">
        <v>535</v>
      </c>
      <c r="H393" s="26">
        <v>45535</v>
      </c>
      <c r="I393" s="33">
        <v>33856537</v>
      </c>
      <c r="J393" s="33">
        <f t="shared" si="84"/>
        <v>16928268.5</v>
      </c>
      <c r="K393" s="33">
        <f t="shared" si="85"/>
        <v>16284202.315791098</v>
      </c>
      <c r="L393" s="33">
        <f t="shared" si="86"/>
        <v>16284202.315791098</v>
      </c>
      <c r="M393" s="33">
        <f t="shared" si="87"/>
        <v>15877097.257896321</v>
      </c>
      <c r="N393" s="33">
        <v>15248826</v>
      </c>
      <c r="O393" s="156">
        <v>0.26543641800000001</v>
      </c>
      <c r="P393" s="155" t="s">
        <v>547</v>
      </c>
    </row>
    <row r="394" spans="1:16" ht="15" x14ac:dyDescent="0.35">
      <c r="A394" t="s">
        <v>543</v>
      </c>
      <c r="B394" t="str">
        <f t="shared" si="83"/>
        <v>iBoxx MSCI GBP Corporates Paris Aligned Capped TCA Index30</v>
      </c>
      <c r="C394" t="s">
        <v>544</v>
      </c>
      <c r="D394" t="s">
        <v>545</v>
      </c>
      <c r="E394" t="s">
        <v>546</v>
      </c>
      <c r="F394">
        <v>30</v>
      </c>
      <c r="G394" t="s">
        <v>535</v>
      </c>
      <c r="H394" s="26">
        <v>45565</v>
      </c>
      <c r="I394" s="33">
        <v>33305912</v>
      </c>
      <c r="J394" s="33">
        <f t="shared" si="84"/>
        <v>16652956</v>
      </c>
      <c r="K394" s="33">
        <f t="shared" si="85"/>
        <v>16186019.843418058</v>
      </c>
      <c r="L394" s="33">
        <f t="shared" si="86"/>
        <v>16186019.843418058</v>
      </c>
      <c r="M394" s="33">
        <f t="shared" si="87"/>
        <v>15781369.347332606</v>
      </c>
      <c r="N394" s="33">
        <v>15156887</v>
      </c>
      <c r="O394" s="156">
        <v>0.26231386800000001</v>
      </c>
      <c r="P394" s="155" t="s">
        <v>547</v>
      </c>
    </row>
    <row r="395" spans="1:16" ht="15" x14ac:dyDescent="0.35">
      <c r="A395" t="s">
        <v>543</v>
      </c>
      <c r="B395" t="str">
        <f t="shared" si="83"/>
        <v>iBoxx MSCI GBP Corporates Paris Aligned Capped TCA Index31</v>
      </c>
      <c r="C395" t="s">
        <v>544</v>
      </c>
      <c r="D395" t="s">
        <v>545</v>
      </c>
      <c r="E395" t="s">
        <v>546</v>
      </c>
      <c r="F395">
        <v>31</v>
      </c>
      <c r="G395" t="s">
        <v>535</v>
      </c>
      <c r="H395" s="26">
        <v>45596</v>
      </c>
      <c r="I395" s="33">
        <v>31015328.9363873</v>
      </c>
      <c r="J395" s="33">
        <f t="shared" si="84"/>
        <v>15507664.46819365</v>
      </c>
      <c r="K395" s="33">
        <f t="shared" si="85"/>
        <v>16088429.343417646</v>
      </c>
      <c r="L395" s="33">
        <f t="shared" si="86"/>
        <v>15507664.46819365</v>
      </c>
      <c r="M395" s="33">
        <f t="shared" si="87"/>
        <v>15119972.856488809</v>
      </c>
      <c r="N395" s="33">
        <v>14300461.3854986</v>
      </c>
      <c r="O395" s="156">
        <v>0.26185877899999999</v>
      </c>
      <c r="P395" s="155" t="s">
        <v>547</v>
      </c>
    </row>
    <row r="396" spans="1:16" ht="15" x14ac:dyDescent="0.35">
      <c r="A396" t="s">
        <v>543</v>
      </c>
      <c r="B396" t="str">
        <f t="shared" si="83"/>
        <v>iBoxx MSCI GBP Corporates Paris Aligned Capped TCA Index32</v>
      </c>
      <c r="C396" t="s">
        <v>544</v>
      </c>
      <c r="D396" t="s">
        <v>545</v>
      </c>
      <c r="E396" t="s">
        <v>546</v>
      </c>
      <c r="F396">
        <v>32</v>
      </c>
      <c r="G396" t="s">
        <v>535</v>
      </c>
      <c r="H396" s="26">
        <v>45626</v>
      </c>
      <c r="I396" s="33">
        <v>32294797</v>
      </c>
      <c r="J396" s="33">
        <f t="shared" si="84"/>
        <v>16147398.5</v>
      </c>
      <c r="K396" s="33">
        <f t="shared" si="85"/>
        <v>15991427.246606067</v>
      </c>
      <c r="L396" s="33">
        <f t="shared" si="86"/>
        <v>15991427.246606067</v>
      </c>
      <c r="M396" s="33">
        <f t="shared" si="87"/>
        <v>15591641.565440916</v>
      </c>
      <c r="N396" s="33">
        <v>13068879</v>
      </c>
      <c r="O396" s="156">
        <v>0.26248674500000002</v>
      </c>
      <c r="P396" s="155" t="s">
        <v>547</v>
      </c>
    </row>
    <row r="397" spans="1:16" ht="15" x14ac:dyDescent="0.35">
      <c r="A397" t="s">
        <v>543</v>
      </c>
      <c r="B397" t="str">
        <f t="shared" si="83"/>
        <v>iBoxx MSCI GBP Corporates Paris Aligned Capped TCA Index33</v>
      </c>
      <c r="C397" t="s">
        <v>544</v>
      </c>
      <c r="D397" t="s">
        <v>545</v>
      </c>
      <c r="E397" t="s">
        <v>546</v>
      </c>
      <c r="F397">
        <v>33</v>
      </c>
      <c r="G397" t="s">
        <v>535</v>
      </c>
      <c r="H397" s="26">
        <v>45657</v>
      </c>
      <c r="I397" s="33"/>
      <c r="J397" s="33">
        <f t="shared" si="84"/>
        <v>0</v>
      </c>
      <c r="K397" s="33">
        <f t="shared" si="85"/>
        <v>15895010.005319221</v>
      </c>
      <c r="L397" s="33">
        <f t="shared" si="86"/>
        <v>0</v>
      </c>
      <c r="M397" s="33">
        <f t="shared" si="87"/>
        <v>0</v>
      </c>
      <c r="N397" s="33"/>
      <c r="O397" s="40"/>
      <c r="P397" s="155" t="s">
        <v>547</v>
      </c>
    </row>
    <row r="398" spans="1:16" ht="15" x14ac:dyDescent="0.35">
      <c r="A398" t="s">
        <v>543</v>
      </c>
      <c r="B398" t="str">
        <f t="shared" si="83"/>
        <v>iBoxx MSCI GBP Corporates Paris Aligned Capped TCA Index34</v>
      </c>
      <c r="C398" t="s">
        <v>544</v>
      </c>
      <c r="D398" t="s">
        <v>545</v>
      </c>
      <c r="E398" t="s">
        <v>546</v>
      </c>
      <c r="F398">
        <v>34</v>
      </c>
      <c r="G398" t="s">
        <v>535</v>
      </c>
      <c r="H398" s="26">
        <v>45688</v>
      </c>
      <c r="I398" s="33"/>
      <c r="J398" s="33">
        <f t="shared" si="84"/>
        <v>0</v>
      </c>
      <c r="K398" s="33">
        <f t="shared" si="85"/>
        <v>15799174.093282983</v>
      </c>
      <c r="L398" s="33">
        <f t="shared" si="86"/>
        <v>0</v>
      </c>
      <c r="M398" s="33">
        <f t="shared" si="87"/>
        <v>0</v>
      </c>
      <c r="N398" s="33"/>
      <c r="O398" s="40"/>
      <c r="P398" s="155" t="s">
        <v>547</v>
      </c>
    </row>
    <row r="399" spans="1:16" ht="15" x14ac:dyDescent="0.35">
      <c r="A399" t="s">
        <v>543</v>
      </c>
      <c r="B399" t="str">
        <f t="shared" si="83"/>
        <v>iBoxx MSCI GBP Corporates Paris Aligned Capped TCA Index35</v>
      </c>
      <c r="C399" t="s">
        <v>544</v>
      </c>
      <c r="D399" t="s">
        <v>545</v>
      </c>
      <c r="E399" t="s">
        <v>546</v>
      </c>
      <c r="F399">
        <v>35</v>
      </c>
      <c r="G399" t="s">
        <v>535</v>
      </c>
      <c r="H399" s="26">
        <v>45716</v>
      </c>
      <c r="I399" s="33"/>
      <c r="J399" s="33">
        <f t="shared" si="84"/>
        <v>0</v>
      </c>
      <c r="K399" s="33">
        <f t="shared" si="85"/>
        <v>15703916.005484208</v>
      </c>
      <c r="L399" s="33">
        <f t="shared" si="86"/>
        <v>0</v>
      </c>
      <c r="M399" s="33">
        <f t="shared" si="87"/>
        <v>0</v>
      </c>
      <c r="N399" s="33"/>
      <c r="O399" s="40"/>
      <c r="P399" s="155" t="s">
        <v>547</v>
      </c>
    </row>
    <row r="400" spans="1:16" ht="15" x14ac:dyDescent="0.35">
      <c r="A400" t="s">
        <v>543</v>
      </c>
      <c r="B400" t="str">
        <f t="shared" si="83"/>
        <v>iBoxx MSCI GBP Corporates Paris Aligned Capped TCA Index36</v>
      </c>
      <c r="C400" t="s">
        <v>544</v>
      </c>
      <c r="D400" t="s">
        <v>545</v>
      </c>
      <c r="E400" t="s">
        <v>546</v>
      </c>
      <c r="F400">
        <v>36</v>
      </c>
      <c r="G400" t="s">
        <v>535</v>
      </c>
      <c r="H400" s="26">
        <v>45747</v>
      </c>
      <c r="I400" s="33"/>
      <c r="J400" s="33">
        <f t="shared" si="84"/>
        <v>0</v>
      </c>
      <c r="K400" s="33">
        <f t="shared" si="85"/>
        <v>15609232.258042561</v>
      </c>
      <c r="L400" s="33">
        <f t="shared" si="86"/>
        <v>0</v>
      </c>
      <c r="M400" s="33">
        <f t="shared" si="87"/>
        <v>0</v>
      </c>
      <c r="N400" s="33"/>
      <c r="O400" s="40"/>
      <c r="P400" s="155" t="s">
        <v>547</v>
      </c>
    </row>
    <row r="401" spans="1:16" ht="15" x14ac:dyDescent="0.35">
      <c r="A401" t="s">
        <v>543</v>
      </c>
      <c r="B401" t="str">
        <f t="shared" si="83"/>
        <v>iBoxx MSCI GBP Corporates Paris Aligned Capped TCA Index37</v>
      </c>
      <c r="C401" t="s">
        <v>544</v>
      </c>
      <c r="D401" t="s">
        <v>545</v>
      </c>
      <c r="E401" t="s">
        <v>546</v>
      </c>
      <c r="F401">
        <v>37</v>
      </c>
      <c r="G401" t="s">
        <v>535</v>
      </c>
      <c r="H401" s="26">
        <v>45777</v>
      </c>
      <c r="I401" s="33"/>
      <c r="J401" s="33">
        <f t="shared" si="84"/>
        <v>0</v>
      </c>
      <c r="K401" s="33">
        <f t="shared" si="85"/>
        <v>15515119.388083097</v>
      </c>
      <c r="L401" s="33">
        <f t="shared" si="86"/>
        <v>0</v>
      </c>
      <c r="M401" s="33">
        <f t="shared" si="87"/>
        <v>0</v>
      </c>
      <c r="N401" s="33"/>
      <c r="O401" s="40"/>
      <c r="P401" s="155" t="s">
        <v>547</v>
      </c>
    </row>
    <row r="402" spans="1:16" ht="15" x14ac:dyDescent="0.35">
      <c r="A402" t="s">
        <v>543</v>
      </c>
      <c r="B402" t="str">
        <f t="shared" si="83"/>
        <v>iBoxx MSCI GBP Corporates Paris Aligned Capped TCA Index38</v>
      </c>
      <c r="C402" t="s">
        <v>544</v>
      </c>
      <c r="D402" t="s">
        <v>545</v>
      </c>
      <c r="E402" t="s">
        <v>546</v>
      </c>
      <c r="F402">
        <v>38</v>
      </c>
      <c r="G402" t="s">
        <v>535</v>
      </c>
      <c r="H402" s="26">
        <v>45808</v>
      </c>
      <c r="I402" s="33"/>
      <c r="J402" s="33">
        <f t="shared" si="84"/>
        <v>0</v>
      </c>
      <c r="K402" s="33">
        <f t="shared" si="85"/>
        <v>15421573.953609606</v>
      </c>
      <c r="L402" s="33">
        <f t="shared" si="86"/>
        <v>0</v>
      </c>
      <c r="M402" s="33">
        <f t="shared" si="87"/>
        <v>0</v>
      </c>
      <c r="N402" s="33"/>
      <c r="O402" s="40"/>
      <c r="P402" s="155" t="s">
        <v>547</v>
      </c>
    </row>
    <row r="403" spans="1:16" ht="15" x14ac:dyDescent="0.35">
      <c r="A403" t="s">
        <v>543</v>
      </c>
      <c r="B403" t="str">
        <f t="shared" si="83"/>
        <v>iBoxx MSCI GBP Corporates Paris Aligned Capped TCA Index39</v>
      </c>
      <c r="C403" t="s">
        <v>544</v>
      </c>
      <c r="D403" t="s">
        <v>545</v>
      </c>
      <c r="E403" t="s">
        <v>546</v>
      </c>
      <c r="F403">
        <v>39</v>
      </c>
      <c r="G403" t="s">
        <v>535</v>
      </c>
      <c r="H403" s="26">
        <v>45838</v>
      </c>
      <c r="I403" s="33"/>
      <c r="J403" s="33">
        <f t="shared" si="84"/>
        <v>0</v>
      </c>
      <c r="K403" s="33">
        <f t="shared" si="85"/>
        <v>15328592.533378735</v>
      </c>
      <c r="L403" s="33">
        <f t="shared" si="86"/>
        <v>0</v>
      </c>
      <c r="M403" s="33">
        <f t="shared" si="87"/>
        <v>0</v>
      </c>
      <c r="N403" s="33"/>
      <c r="O403" s="40"/>
      <c r="P403" s="155" t="s">
        <v>547</v>
      </c>
    </row>
    <row r="404" spans="1:16" ht="15" x14ac:dyDescent="0.35">
      <c r="A404" t="s">
        <v>543</v>
      </c>
      <c r="B404" t="str">
        <f t="shared" si="83"/>
        <v>iBoxx MSCI GBP Corporates Paris Aligned Capped TCA Index40</v>
      </c>
      <c r="C404" t="s">
        <v>544</v>
      </c>
      <c r="D404" t="s">
        <v>545</v>
      </c>
      <c r="E404" t="s">
        <v>546</v>
      </c>
      <c r="F404">
        <v>40</v>
      </c>
      <c r="G404" t="s">
        <v>535</v>
      </c>
      <c r="H404" s="26">
        <v>45869</v>
      </c>
      <c r="I404" s="33"/>
      <c r="J404" s="33">
        <f t="shared" si="84"/>
        <v>0</v>
      </c>
      <c r="K404" s="33">
        <f t="shared" si="85"/>
        <v>15236171.726774862</v>
      </c>
      <c r="L404" s="33">
        <f t="shared" si="86"/>
        <v>0</v>
      </c>
      <c r="M404" s="33">
        <f t="shared" si="87"/>
        <v>0</v>
      </c>
      <c r="N404" s="33"/>
      <c r="O404" s="40"/>
      <c r="P404" s="155" t="s">
        <v>547</v>
      </c>
    </row>
    <row r="405" spans="1:16" ht="15" x14ac:dyDescent="0.35">
      <c r="A405" t="s">
        <v>543</v>
      </c>
      <c r="B405" t="str">
        <f t="shared" si="83"/>
        <v>iBoxx MSCI GBP Corporates Paris Aligned Capped TCA Index41</v>
      </c>
      <c r="C405" t="s">
        <v>544</v>
      </c>
      <c r="D405" t="s">
        <v>545</v>
      </c>
      <c r="E405" t="s">
        <v>546</v>
      </c>
      <c r="F405">
        <v>41</v>
      </c>
      <c r="G405" t="s">
        <v>535</v>
      </c>
      <c r="H405" s="26">
        <v>45900</v>
      </c>
      <c r="I405" s="33"/>
      <c r="J405" s="33">
        <f t="shared" si="84"/>
        <v>0</v>
      </c>
      <c r="K405" s="33">
        <f t="shared" si="85"/>
        <v>15144308.153685724</v>
      </c>
      <c r="L405" s="33">
        <f t="shared" si="86"/>
        <v>0</v>
      </c>
      <c r="M405" s="33">
        <f t="shared" si="87"/>
        <v>0</v>
      </c>
      <c r="N405" s="33"/>
      <c r="O405" s="40"/>
      <c r="P405" s="155" t="s">
        <v>547</v>
      </c>
    </row>
    <row r="406" spans="1:16" ht="15" x14ac:dyDescent="0.35">
      <c r="A406" t="s">
        <v>543</v>
      </c>
      <c r="B406" t="str">
        <f t="shared" si="83"/>
        <v>iBoxx MSCI GBP Corporates Paris Aligned Capped TCA Index42</v>
      </c>
      <c r="C406" t="s">
        <v>544</v>
      </c>
      <c r="D406" t="s">
        <v>545</v>
      </c>
      <c r="E406" t="s">
        <v>546</v>
      </c>
      <c r="F406">
        <v>42</v>
      </c>
      <c r="G406" t="s">
        <v>535</v>
      </c>
      <c r="H406" s="26">
        <v>45930</v>
      </c>
      <c r="I406" s="33"/>
      <c r="J406" s="33">
        <f t="shared" si="84"/>
        <v>0</v>
      </c>
      <c r="K406" s="33">
        <f t="shared" si="85"/>
        <v>15052998.454378793</v>
      </c>
      <c r="L406" s="33">
        <f t="shared" si="86"/>
        <v>0</v>
      </c>
      <c r="M406" s="33">
        <f t="shared" si="87"/>
        <v>0</v>
      </c>
      <c r="N406" s="33"/>
      <c r="O406" s="40"/>
      <c r="P406" s="155" t="s">
        <v>547</v>
      </c>
    </row>
    <row r="407" spans="1:16" ht="15" x14ac:dyDescent="0.35">
      <c r="A407" t="s">
        <v>543</v>
      </c>
      <c r="B407" t="str">
        <f t="shared" si="83"/>
        <v>iBoxx MSCI GBP Corporates Paris Aligned Capped TCA Index43</v>
      </c>
      <c r="C407" t="s">
        <v>544</v>
      </c>
      <c r="D407" t="s">
        <v>545</v>
      </c>
      <c r="E407" t="s">
        <v>546</v>
      </c>
      <c r="F407">
        <v>43</v>
      </c>
      <c r="G407" t="s">
        <v>535</v>
      </c>
      <c r="H407" s="26">
        <v>45961</v>
      </c>
      <c r="I407" s="33"/>
      <c r="J407" s="33">
        <f t="shared" si="84"/>
        <v>0</v>
      </c>
      <c r="K407" s="33">
        <f t="shared" si="85"/>
        <v>14962239.28937841</v>
      </c>
      <c r="L407" s="33">
        <f t="shared" si="86"/>
        <v>0</v>
      </c>
      <c r="M407" s="33">
        <f t="shared" si="87"/>
        <v>0</v>
      </c>
      <c r="N407" s="33"/>
      <c r="O407" s="40"/>
      <c r="P407" s="155" t="s">
        <v>547</v>
      </c>
    </row>
    <row r="408" spans="1:16" ht="15" x14ac:dyDescent="0.35">
      <c r="A408" t="s">
        <v>543</v>
      </c>
      <c r="B408" t="str">
        <f t="shared" si="83"/>
        <v>iBoxx MSCI GBP Corporates Paris Aligned Capped TCA Index44</v>
      </c>
      <c r="C408" t="s">
        <v>544</v>
      </c>
      <c r="D408" t="s">
        <v>545</v>
      </c>
      <c r="E408" t="s">
        <v>546</v>
      </c>
      <c r="F408">
        <v>44</v>
      </c>
      <c r="G408" t="s">
        <v>535</v>
      </c>
      <c r="H408" s="26">
        <v>45991</v>
      </c>
      <c r="I408" s="33"/>
      <c r="J408" s="33">
        <f t="shared" si="84"/>
        <v>0</v>
      </c>
      <c r="K408" s="33">
        <f t="shared" si="85"/>
        <v>14872027.339343643</v>
      </c>
      <c r="L408" s="33">
        <f t="shared" si="86"/>
        <v>0</v>
      </c>
      <c r="M408" s="33">
        <f t="shared" si="87"/>
        <v>0</v>
      </c>
      <c r="N408" s="33"/>
      <c r="O408" s="40"/>
      <c r="P408" s="155" t="s">
        <v>547</v>
      </c>
    </row>
    <row r="409" spans="1:16" ht="15" x14ac:dyDescent="0.35">
      <c r="A409" t="s">
        <v>543</v>
      </c>
      <c r="B409" t="str">
        <f t="shared" si="83"/>
        <v>iBoxx MSCI GBP Corporates Paris Aligned Capped TCA Index45</v>
      </c>
      <c r="C409" t="s">
        <v>544</v>
      </c>
      <c r="D409" t="s">
        <v>545</v>
      </c>
      <c r="E409" t="s">
        <v>546</v>
      </c>
      <c r="F409">
        <v>45</v>
      </c>
      <c r="G409" t="s">
        <v>535</v>
      </c>
      <c r="H409" s="26">
        <v>46022</v>
      </c>
      <c r="I409" s="33"/>
      <c r="J409" s="33">
        <f t="shared" si="84"/>
        <v>0</v>
      </c>
      <c r="K409" s="33">
        <f t="shared" si="85"/>
        <v>14782359.304946877</v>
      </c>
      <c r="L409" s="33">
        <f t="shared" si="86"/>
        <v>0</v>
      </c>
      <c r="M409" s="33">
        <f t="shared" si="87"/>
        <v>0</v>
      </c>
      <c r="N409" s="33"/>
      <c r="O409" s="40"/>
      <c r="P409" s="155" t="s">
        <v>547</v>
      </c>
    </row>
    <row r="410" spans="1:16" ht="15" x14ac:dyDescent="0.35">
      <c r="A410" t="s">
        <v>543</v>
      </c>
      <c r="B410" t="str">
        <f t="shared" si="83"/>
        <v>iBoxx MSCI GBP Corporates Paris Aligned Capped TCA Index46</v>
      </c>
      <c r="C410" t="s">
        <v>544</v>
      </c>
      <c r="D410" t="s">
        <v>545</v>
      </c>
      <c r="E410" t="s">
        <v>546</v>
      </c>
      <c r="F410">
        <v>46</v>
      </c>
      <c r="G410" t="s">
        <v>535</v>
      </c>
      <c r="H410" s="26">
        <v>46053</v>
      </c>
      <c r="I410" s="33"/>
      <c r="J410" s="33">
        <f t="shared" si="84"/>
        <v>0</v>
      </c>
      <c r="K410" s="33">
        <f t="shared" si="85"/>
        <v>14693231.906753175</v>
      </c>
      <c r="L410" s="33">
        <f t="shared" si="86"/>
        <v>0</v>
      </c>
      <c r="M410" s="33">
        <f t="shared" si="87"/>
        <v>0</v>
      </c>
      <c r="N410" s="33"/>
      <c r="O410" s="40"/>
      <c r="P410" s="155" t="s">
        <v>547</v>
      </c>
    </row>
    <row r="411" spans="1:16" ht="15" x14ac:dyDescent="0.35">
      <c r="A411" t="s">
        <v>543</v>
      </c>
      <c r="B411" t="str">
        <f t="shared" si="83"/>
        <v>iBoxx MSCI GBP Corporates Paris Aligned Capped TCA Index47</v>
      </c>
      <c r="C411" t="s">
        <v>544</v>
      </c>
      <c r="D411" t="s">
        <v>545</v>
      </c>
      <c r="E411" t="s">
        <v>546</v>
      </c>
      <c r="F411">
        <v>47</v>
      </c>
      <c r="G411" t="s">
        <v>535</v>
      </c>
      <c r="H411" s="26">
        <v>46081</v>
      </c>
      <c r="I411" s="33"/>
      <c r="J411" s="33">
        <f t="shared" si="84"/>
        <v>0</v>
      </c>
      <c r="K411" s="33">
        <f t="shared" si="85"/>
        <v>14604641.885100314</v>
      </c>
      <c r="L411" s="33">
        <f t="shared" si="86"/>
        <v>0</v>
      </c>
      <c r="M411" s="33">
        <f t="shared" si="87"/>
        <v>0</v>
      </c>
      <c r="N411" s="33"/>
      <c r="O411" s="40"/>
      <c r="P411" s="155" t="s">
        <v>547</v>
      </c>
    </row>
    <row r="412" spans="1:16" ht="15" x14ac:dyDescent="0.35">
      <c r="A412" t="s">
        <v>543</v>
      </c>
      <c r="B412" t="str">
        <f t="shared" si="83"/>
        <v>iBoxx MSCI GBP Corporates Paris Aligned Capped TCA Index48</v>
      </c>
      <c r="C412" t="s">
        <v>544</v>
      </c>
      <c r="D412" t="s">
        <v>545</v>
      </c>
      <c r="E412" t="s">
        <v>546</v>
      </c>
      <c r="F412">
        <v>48</v>
      </c>
      <c r="G412" t="s">
        <v>535</v>
      </c>
      <c r="H412" s="26">
        <v>46112</v>
      </c>
      <c r="I412" s="33"/>
      <c r="J412" s="33">
        <f t="shared" si="84"/>
        <v>0</v>
      </c>
      <c r="K412" s="33">
        <f t="shared" si="85"/>
        <v>14516585.999979584</v>
      </c>
      <c r="L412" s="33">
        <f t="shared" si="86"/>
        <v>0</v>
      </c>
      <c r="M412" s="33">
        <f t="shared" si="87"/>
        <v>0</v>
      </c>
      <c r="N412" s="33"/>
      <c r="O412" s="40"/>
      <c r="P412" s="155" t="s">
        <v>547</v>
      </c>
    </row>
    <row r="413" spans="1:16" ht="15" x14ac:dyDescent="0.35">
      <c r="A413" t="s">
        <v>543</v>
      </c>
      <c r="B413" t="str">
        <f t="shared" si="83"/>
        <v>iBoxx MSCI GBP Corporates Paris Aligned Capped TCA Index49</v>
      </c>
      <c r="C413" t="s">
        <v>544</v>
      </c>
      <c r="D413" t="s">
        <v>545</v>
      </c>
      <c r="E413" t="s">
        <v>546</v>
      </c>
      <c r="F413">
        <v>49</v>
      </c>
      <c r="G413" t="s">
        <v>535</v>
      </c>
      <c r="H413" s="26">
        <v>46142</v>
      </c>
      <c r="I413" s="33"/>
      <c r="J413" s="33">
        <f t="shared" si="84"/>
        <v>0</v>
      </c>
      <c r="K413" s="33">
        <f t="shared" si="85"/>
        <v>14429061.030917283</v>
      </c>
      <c r="L413" s="33">
        <f t="shared" si="86"/>
        <v>0</v>
      </c>
      <c r="M413" s="33">
        <f t="shared" si="87"/>
        <v>0</v>
      </c>
      <c r="N413" s="33"/>
      <c r="O413" s="40"/>
      <c r="P413" s="155" t="s">
        <v>547</v>
      </c>
    </row>
    <row r="414" spans="1:16" ht="15" x14ac:dyDescent="0.35">
      <c r="A414" t="s">
        <v>543</v>
      </c>
      <c r="B414" t="str">
        <f t="shared" si="83"/>
        <v>iBoxx MSCI GBP Corporates Paris Aligned Capped TCA Index50</v>
      </c>
      <c r="C414" t="s">
        <v>544</v>
      </c>
      <c r="D414" t="s">
        <v>545</v>
      </c>
      <c r="E414" t="s">
        <v>546</v>
      </c>
      <c r="F414">
        <v>50</v>
      </c>
      <c r="G414" t="s">
        <v>535</v>
      </c>
      <c r="H414" s="26">
        <v>46173</v>
      </c>
      <c r="I414" s="33"/>
      <c r="J414" s="33">
        <f t="shared" si="84"/>
        <v>0</v>
      </c>
      <c r="K414" s="33">
        <f t="shared" si="85"/>
        <v>14342063.776856933</v>
      </c>
      <c r="L414" s="33">
        <f t="shared" si="86"/>
        <v>0</v>
      </c>
      <c r="M414" s="33">
        <f t="shared" si="87"/>
        <v>0</v>
      </c>
      <c r="N414" s="33"/>
      <c r="O414" s="40"/>
      <c r="P414" s="155" t="s">
        <v>547</v>
      </c>
    </row>
    <row r="415" spans="1:16" ht="15" x14ac:dyDescent="0.35">
      <c r="A415" t="s">
        <v>543</v>
      </c>
      <c r="B415" t="str">
        <f t="shared" si="83"/>
        <v>iBoxx MSCI GBP Corporates Paris Aligned Capped TCA Index51</v>
      </c>
      <c r="C415" t="s">
        <v>544</v>
      </c>
      <c r="D415" t="s">
        <v>545</v>
      </c>
      <c r="E415" t="s">
        <v>546</v>
      </c>
      <c r="F415">
        <v>51</v>
      </c>
      <c r="G415" t="s">
        <v>535</v>
      </c>
      <c r="H415" s="26">
        <v>46203</v>
      </c>
      <c r="I415" s="33"/>
      <c r="J415" s="33">
        <f t="shared" si="84"/>
        <v>0</v>
      </c>
      <c r="K415" s="33">
        <f t="shared" si="85"/>
        <v>14255591.056042224</v>
      </c>
      <c r="L415" s="33">
        <f t="shared" si="86"/>
        <v>0</v>
      </c>
      <c r="M415" s="33">
        <f t="shared" si="87"/>
        <v>0</v>
      </c>
      <c r="N415" s="33"/>
      <c r="O415" s="40"/>
      <c r="P415" s="155" t="s">
        <v>547</v>
      </c>
    </row>
    <row r="416" spans="1:16" ht="15" x14ac:dyDescent="0.35">
      <c r="A416" t="s">
        <v>543</v>
      </c>
      <c r="B416" t="str">
        <f t="shared" si="83"/>
        <v>iBoxx MSCI GBP Corporates Paris Aligned Capped TCA Index52</v>
      </c>
      <c r="C416" t="s">
        <v>544</v>
      </c>
      <c r="D416" t="s">
        <v>545</v>
      </c>
      <c r="E416" t="s">
        <v>546</v>
      </c>
      <c r="F416">
        <v>52</v>
      </c>
      <c r="G416" t="s">
        <v>535</v>
      </c>
      <c r="H416" s="26">
        <v>46234</v>
      </c>
      <c r="I416" s="33"/>
      <c r="J416" s="33">
        <f t="shared" si="84"/>
        <v>0</v>
      </c>
      <c r="K416" s="33">
        <f t="shared" si="85"/>
        <v>14169639.705900623</v>
      </c>
      <c r="L416" s="33">
        <f t="shared" si="86"/>
        <v>0</v>
      </c>
      <c r="M416" s="33">
        <f t="shared" si="87"/>
        <v>0</v>
      </c>
      <c r="N416" s="33"/>
      <c r="O416" s="40"/>
      <c r="P416" s="155" t="s">
        <v>547</v>
      </c>
    </row>
    <row r="417" spans="1:16" ht="15" x14ac:dyDescent="0.35">
      <c r="A417" t="s">
        <v>543</v>
      </c>
      <c r="B417" t="str">
        <f t="shared" si="83"/>
        <v>iBoxx MSCI GBP Corporates Paris Aligned Capped TCA Index53</v>
      </c>
      <c r="C417" t="s">
        <v>544</v>
      </c>
      <c r="D417" t="s">
        <v>545</v>
      </c>
      <c r="E417" t="s">
        <v>546</v>
      </c>
      <c r="F417">
        <v>53</v>
      </c>
      <c r="G417" t="s">
        <v>535</v>
      </c>
      <c r="H417" s="26">
        <v>46265</v>
      </c>
      <c r="I417" s="33"/>
      <c r="J417" s="33">
        <f t="shared" si="84"/>
        <v>0</v>
      </c>
      <c r="K417" s="33">
        <f t="shared" si="85"/>
        <v>14084206.582927722</v>
      </c>
      <c r="L417" s="33">
        <f t="shared" si="86"/>
        <v>0</v>
      </c>
      <c r="M417" s="33">
        <f t="shared" si="87"/>
        <v>0</v>
      </c>
      <c r="N417" s="33"/>
      <c r="O417" s="40"/>
      <c r="P417" s="155" t="s">
        <v>547</v>
      </c>
    </row>
    <row r="418" spans="1:16" ht="15" x14ac:dyDescent="0.35">
      <c r="A418" t="s">
        <v>543</v>
      </c>
      <c r="B418" t="str">
        <f t="shared" si="83"/>
        <v>iBoxx MSCI GBP Corporates Paris Aligned Capped TCA Index54</v>
      </c>
      <c r="C418" t="s">
        <v>544</v>
      </c>
      <c r="D418" t="s">
        <v>545</v>
      </c>
      <c r="E418" t="s">
        <v>546</v>
      </c>
      <c r="F418">
        <v>54</v>
      </c>
      <c r="G418" t="s">
        <v>535</v>
      </c>
      <c r="H418" s="26">
        <v>46295</v>
      </c>
      <c r="I418" s="33"/>
      <c r="J418" s="33">
        <f t="shared" si="84"/>
        <v>0</v>
      </c>
      <c r="K418" s="33">
        <f t="shared" si="85"/>
        <v>13999288.562572278</v>
      </c>
      <c r="L418" s="33">
        <f t="shared" si="86"/>
        <v>0</v>
      </c>
      <c r="M418" s="33">
        <f t="shared" si="87"/>
        <v>0</v>
      </c>
      <c r="N418" s="33"/>
      <c r="O418" s="40"/>
      <c r="P418" s="155" t="s">
        <v>547</v>
      </c>
    </row>
    <row r="419" spans="1:16" ht="15" x14ac:dyDescent="0.35">
      <c r="A419" t="s">
        <v>543</v>
      </c>
      <c r="B419" t="str">
        <f t="shared" si="83"/>
        <v>iBoxx MSCI GBP Corporates Paris Aligned Capped TCA Index55</v>
      </c>
      <c r="C419" t="s">
        <v>544</v>
      </c>
      <c r="D419" t="s">
        <v>545</v>
      </c>
      <c r="E419" t="s">
        <v>546</v>
      </c>
      <c r="F419">
        <v>55</v>
      </c>
      <c r="G419" t="s">
        <v>535</v>
      </c>
      <c r="H419" s="26">
        <v>46326</v>
      </c>
      <c r="I419" s="33"/>
      <c r="J419" s="33">
        <f t="shared" si="84"/>
        <v>0</v>
      </c>
      <c r="K419" s="33">
        <f t="shared" si="85"/>
        <v>13914882.539121924</v>
      </c>
      <c r="L419" s="33">
        <f t="shared" si="86"/>
        <v>0</v>
      </c>
      <c r="M419" s="33">
        <f t="shared" si="87"/>
        <v>0</v>
      </c>
      <c r="N419" s="33"/>
      <c r="O419" s="40"/>
      <c r="P419" s="155" t="s">
        <v>547</v>
      </c>
    </row>
    <row r="420" spans="1:16" ht="15" x14ac:dyDescent="0.35">
      <c r="A420" t="s">
        <v>543</v>
      </c>
      <c r="B420" t="str">
        <f t="shared" si="83"/>
        <v>iBoxx MSCI GBP Corporates Paris Aligned Capped TCA Index56</v>
      </c>
      <c r="C420" t="s">
        <v>544</v>
      </c>
      <c r="D420" t="s">
        <v>545</v>
      </c>
      <c r="E420" t="s">
        <v>546</v>
      </c>
      <c r="F420">
        <v>56</v>
      </c>
      <c r="G420" t="s">
        <v>535</v>
      </c>
      <c r="H420" s="26">
        <v>46356</v>
      </c>
      <c r="I420" s="33"/>
      <c r="J420" s="33">
        <f t="shared" si="84"/>
        <v>0</v>
      </c>
      <c r="K420" s="33">
        <f t="shared" si="85"/>
        <v>13830985.425589588</v>
      </c>
      <c r="L420" s="33">
        <f t="shared" si="86"/>
        <v>0</v>
      </c>
      <c r="M420" s="33">
        <f t="shared" si="87"/>
        <v>0</v>
      </c>
      <c r="N420" s="33"/>
      <c r="O420" s="40"/>
      <c r="P420" s="155" t="s">
        <v>547</v>
      </c>
    </row>
    <row r="421" spans="1:16" ht="15" x14ac:dyDescent="0.35">
      <c r="A421" t="s">
        <v>543</v>
      </c>
      <c r="B421" t="str">
        <f t="shared" si="83"/>
        <v>iBoxx MSCI GBP Corporates Paris Aligned Capped TCA Index57</v>
      </c>
      <c r="C421" t="s">
        <v>544</v>
      </c>
      <c r="D421" t="s">
        <v>545</v>
      </c>
      <c r="E421" t="s">
        <v>546</v>
      </c>
      <c r="F421">
        <v>57</v>
      </c>
      <c r="G421" t="s">
        <v>535</v>
      </c>
      <c r="H421" s="26">
        <v>46387</v>
      </c>
      <c r="I421" s="33"/>
      <c r="J421" s="33">
        <f t="shared" si="84"/>
        <v>0</v>
      </c>
      <c r="K421" s="33">
        <f t="shared" si="85"/>
        <v>13747594.153600596</v>
      </c>
      <c r="L421" s="33">
        <f t="shared" si="86"/>
        <v>0</v>
      </c>
      <c r="M421" s="33">
        <f t="shared" si="87"/>
        <v>0</v>
      </c>
      <c r="N421" s="33"/>
      <c r="O421" s="40"/>
      <c r="P421" s="155" t="s">
        <v>547</v>
      </c>
    </row>
    <row r="422" spans="1:16" ht="15" x14ac:dyDescent="0.35">
      <c r="A422" t="s">
        <v>543</v>
      </c>
      <c r="B422" t="str">
        <f t="shared" si="83"/>
        <v>iBoxx MSCI GBP Corporates Paris Aligned Capped TCA Index58</v>
      </c>
      <c r="C422" t="s">
        <v>544</v>
      </c>
      <c r="D422" t="s">
        <v>545</v>
      </c>
      <c r="E422" t="s">
        <v>546</v>
      </c>
      <c r="F422">
        <v>58</v>
      </c>
      <c r="G422" t="s">
        <v>535</v>
      </c>
      <c r="H422" s="26">
        <v>46418</v>
      </c>
      <c r="I422" s="33"/>
      <c r="J422" s="33">
        <f t="shared" si="84"/>
        <v>0</v>
      </c>
      <c r="K422" s="33">
        <f t="shared" si="85"/>
        <v>13664705.673280453</v>
      </c>
      <c r="L422" s="33">
        <f t="shared" si="86"/>
        <v>0</v>
      </c>
      <c r="M422" s="33">
        <f t="shared" si="87"/>
        <v>0</v>
      </c>
      <c r="N422" s="33"/>
      <c r="O422" s="40"/>
      <c r="P422" s="155" t="s">
        <v>547</v>
      </c>
    </row>
    <row r="423" spans="1:16" ht="15" x14ac:dyDescent="0.35">
      <c r="A423" t="s">
        <v>543</v>
      </c>
      <c r="B423" t="str">
        <f t="shared" si="83"/>
        <v>iBoxx MSCI GBP Corporates Paris Aligned Capped TCA Index59</v>
      </c>
      <c r="C423" t="s">
        <v>544</v>
      </c>
      <c r="D423" t="s">
        <v>545</v>
      </c>
      <c r="E423" t="s">
        <v>546</v>
      </c>
      <c r="F423">
        <v>59</v>
      </c>
      <c r="G423" t="s">
        <v>535</v>
      </c>
      <c r="H423" s="26">
        <v>46446</v>
      </c>
      <c r="I423" s="33"/>
      <c r="J423" s="33">
        <f t="shared" si="84"/>
        <v>0</v>
      </c>
      <c r="K423" s="33">
        <f t="shared" si="85"/>
        <v>13582316.953143291</v>
      </c>
      <c r="L423" s="33">
        <f t="shared" si="86"/>
        <v>0</v>
      </c>
      <c r="M423" s="33">
        <f t="shared" si="87"/>
        <v>0</v>
      </c>
      <c r="N423" s="33"/>
      <c r="O423" s="40"/>
      <c r="P423" s="155" t="s">
        <v>547</v>
      </c>
    </row>
    <row r="424" spans="1:16" ht="15" x14ac:dyDescent="0.35">
      <c r="A424" t="s">
        <v>543</v>
      </c>
      <c r="B424" t="str">
        <f t="shared" si="83"/>
        <v>iBoxx MSCI GBP Corporates Paris Aligned Capped TCA Index60</v>
      </c>
      <c r="C424" t="s">
        <v>544</v>
      </c>
      <c r="D424" t="s">
        <v>545</v>
      </c>
      <c r="E424" t="s">
        <v>546</v>
      </c>
      <c r="F424">
        <v>60</v>
      </c>
      <c r="G424" t="s">
        <v>535</v>
      </c>
      <c r="H424" s="26">
        <v>46477</v>
      </c>
      <c r="I424" s="33"/>
      <c r="J424" s="33">
        <f t="shared" si="84"/>
        <v>0</v>
      </c>
      <c r="K424" s="33">
        <f t="shared" si="85"/>
        <v>13500424.979981015</v>
      </c>
      <c r="L424" s="33">
        <f t="shared" si="86"/>
        <v>0</v>
      </c>
      <c r="M424" s="33">
        <f t="shared" si="87"/>
        <v>0</v>
      </c>
      <c r="N424" s="33"/>
      <c r="O424" s="40"/>
      <c r="P424" s="155" t="s">
        <v>547</v>
      </c>
    </row>
    <row r="425" spans="1:16" ht="15" x14ac:dyDescent="0.35">
      <c r="A425" t="s">
        <v>543</v>
      </c>
      <c r="B425" t="str">
        <f t="shared" si="83"/>
        <v>iBoxx MSCI GBP Corporates Paris Aligned Capped TCA Index61</v>
      </c>
      <c r="C425" t="s">
        <v>544</v>
      </c>
      <c r="D425" t="s">
        <v>545</v>
      </c>
      <c r="E425" t="s">
        <v>546</v>
      </c>
      <c r="F425">
        <v>61</v>
      </c>
      <c r="G425" t="s">
        <v>535</v>
      </c>
      <c r="H425" s="26">
        <v>46507</v>
      </c>
      <c r="I425" s="33"/>
      <c r="J425" s="33">
        <f t="shared" si="84"/>
        <v>0</v>
      </c>
      <c r="K425" s="33">
        <f t="shared" si="85"/>
        <v>13419026.758753072</v>
      </c>
      <c r="L425" s="33">
        <f t="shared" si="86"/>
        <v>0</v>
      </c>
      <c r="M425" s="33">
        <f t="shared" si="87"/>
        <v>0</v>
      </c>
      <c r="N425" s="33"/>
      <c r="O425" s="40"/>
      <c r="P425" s="155" t="s">
        <v>547</v>
      </c>
    </row>
    <row r="426" spans="1:16" ht="15" x14ac:dyDescent="0.35">
      <c r="A426" t="s">
        <v>543</v>
      </c>
      <c r="B426" t="str">
        <f t="shared" si="83"/>
        <v>iBoxx MSCI GBP Corporates Paris Aligned Capped TCA Index62</v>
      </c>
      <c r="C426" t="s">
        <v>544</v>
      </c>
      <c r="D426" t="s">
        <v>545</v>
      </c>
      <c r="E426" t="s">
        <v>546</v>
      </c>
      <c r="F426">
        <v>62</v>
      </c>
      <c r="G426" t="s">
        <v>535</v>
      </c>
      <c r="H426" s="26">
        <v>46538</v>
      </c>
      <c r="I426" s="33"/>
      <c r="J426" s="33">
        <f t="shared" si="84"/>
        <v>0</v>
      </c>
      <c r="K426" s="33">
        <f t="shared" si="85"/>
        <v>13338119.31247695</v>
      </c>
      <c r="L426" s="33">
        <f t="shared" si="86"/>
        <v>0</v>
      </c>
      <c r="M426" s="33">
        <f t="shared" si="87"/>
        <v>0</v>
      </c>
      <c r="N426" s="33"/>
      <c r="O426" s="40"/>
      <c r="P426" s="155" t="s">
        <v>547</v>
      </c>
    </row>
    <row r="427" spans="1:16" ht="15" x14ac:dyDescent="0.35">
      <c r="A427" t="s">
        <v>543</v>
      </c>
      <c r="B427" t="str">
        <f t="shared" si="83"/>
        <v>iBoxx MSCI GBP Corporates Paris Aligned Capped TCA Index63</v>
      </c>
      <c r="C427" t="s">
        <v>544</v>
      </c>
      <c r="D427" t="s">
        <v>545</v>
      </c>
      <c r="E427" t="s">
        <v>546</v>
      </c>
      <c r="F427">
        <v>63</v>
      </c>
      <c r="G427" t="s">
        <v>535</v>
      </c>
      <c r="H427" s="26">
        <v>46568</v>
      </c>
      <c r="I427" s="33"/>
      <c r="J427" s="33">
        <f t="shared" si="84"/>
        <v>0</v>
      </c>
      <c r="K427" s="33">
        <f t="shared" si="85"/>
        <v>13257699.682119269</v>
      </c>
      <c r="L427" s="33">
        <f t="shared" si="86"/>
        <v>0</v>
      </c>
      <c r="M427" s="33">
        <f t="shared" si="87"/>
        <v>0</v>
      </c>
      <c r="N427" s="33"/>
      <c r="O427" s="40"/>
      <c r="P427" s="155" t="s">
        <v>547</v>
      </c>
    </row>
    <row r="428" spans="1:16" ht="15" x14ac:dyDescent="0.35">
      <c r="A428" t="s">
        <v>543</v>
      </c>
      <c r="B428" t="str">
        <f t="shared" si="83"/>
        <v>iBoxx MSCI GBP Corporates Paris Aligned Capped TCA Index64</v>
      </c>
      <c r="C428" t="s">
        <v>544</v>
      </c>
      <c r="D428" t="s">
        <v>545</v>
      </c>
      <c r="E428" t="s">
        <v>546</v>
      </c>
      <c r="F428">
        <v>64</v>
      </c>
      <c r="G428" t="s">
        <v>535</v>
      </c>
      <c r="H428" s="26">
        <v>46599</v>
      </c>
      <c r="I428" s="33"/>
      <c r="J428" s="33">
        <f t="shared" si="84"/>
        <v>0</v>
      </c>
      <c r="K428" s="33">
        <f t="shared" si="85"/>
        <v>13177764.92648758</v>
      </c>
      <c r="L428" s="33">
        <f t="shared" si="86"/>
        <v>0</v>
      </c>
      <c r="M428" s="33">
        <f t="shared" si="87"/>
        <v>0</v>
      </c>
      <c r="N428" s="33"/>
      <c r="O428" s="40"/>
      <c r="P428" s="155" t="s">
        <v>547</v>
      </c>
    </row>
    <row r="429" spans="1:16" ht="15" x14ac:dyDescent="0.35">
      <c r="A429" t="s">
        <v>543</v>
      </c>
      <c r="B429" t="str">
        <f t="shared" ref="B429:B483" si="88">_xlfn.CONCAT(C429,F429)</f>
        <v>iBoxx MSCI GBP Corporates Paris Aligned Capped TCA Index65</v>
      </c>
      <c r="C429" t="s">
        <v>544</v>
      </c>
      <c r="D429" t="s">
        <v>545</v>
      </c>
      <c r="E429" t="s">
        <v>546</v>
      </c>
      <c r="F429">
        <v>65</v>
      </c>
      <c r="G429" t="s">
        <v>535</v>
      </c>
      <c r="H429" s="26">
        <v>46630</v>
      </c>
      <c r="I429" s="33"/>
      <c r="J429" s="33">
        <f t="shared" si="84"/>
        <v>0</v>
      </c>
      <c r="K429" s="33">
        <f t="shared" si="85"/>
        <v>13098312.122122783</v>
      </c>
      <c r="L429" s="33">
        <f t="shared" si="86"/>
        <v>0</v>
      </c>
      <c r="M429" s="33">
        <f t="shared" si="87"/>
        <v>0</v>
      </c>
      <c r="N429" s="33"/>
      <c r="O429" s="40"/>
      <c r="P429" s="155" t="s">
        <v>547</v>
      </c>
    </row>
    <row r="430" spans="1:16" ht="15" x14ac:dyDescent="0.35">
      <c r="A430" t="s">
        <v>543</v>
      </c>
      <c r="B430" t="str">
        <f t="shared" si="88"/>
        <v>iBoxx MSCI GBP Corporates Paris Aligned Capped TCA Index66</v>
      </c>
      <c r="C430" t="s">
        <v>544</v>
      </c>
      <c r="D430" t="s">
        <v>545</v>
      </c>
      <c r="E430" t="s">
        <v>546</v>
      </c>
      <c r="F430">
        <v>66</v>
      </c>
      <c r="G430" t="s">
        <v>535</v>
      </c>
      <c r="H430" s="26">
        <v>46660</v>
      </c>
      <c r="I430" s="33"/>
      <c r="J430" s="33">
        <f t="shared" si="84"/>
        <v>0</v>
      </c>
      <c r="K430" s="33">
        <f t="shared" si="85"/>
        <v>13019338.363192219</v>
      </c>
      <c r="L430" s="33">
        <f t="shared" si="86"/>
        <v>0</v>
      </c>
      <c r="M430" s="33">
        <f t="shared" si="87"/>
        <v>0</v>
      </c>
      <c r="N430" s="33"/>
      <c r="O430" s="40"/>
      <c r="P430" s="155" t="s">
        <v>547</v>
      </c>
    </row>
    <row r="431" spans="1:16" ht="15" x14ac:dyDescent="0.35">
      <c r="A431" t="s">
        <v>543</v>
      </c>
      <c r="B431" t="str">
        <f t="shared" si="88"/>
        <v>iBoxx MSCI GBP Corporates Paris Aligned Capped TCA Index67</v>
      </c>
      <c r="C431" t="s">
        <v>544</v>
      </c>
      <c r="D431" t="s">
        <v>545</v>
      </c>
      <c r="E431" t="s">
        <v>546</v>
      </c>
      <c r="F431">
        <v>67</v>
      </c>
      <c r="G431" t="s">
        <v>535</v>
      </c>
      <c r="H431" s="26">
        <v>46691</v>
      </c>
      <c r="I431" s="33"/>
      <c r="J431" s="33">
        <f t="shared" si="84"/>
        <v>0</v>
      </c>
      <c r="K431" s="33">
        <f t="shared" si="85"/>
        <v>12940840.76138339</v>
      </c>
      <c r="L431" s="33">
        <f t="shared" si="86"/>
        <v>0</v>
      </c>
      <c r="M431" s="33">
        <f t="shared" si="87"/>
        <v>0</v>
      </c>
      <c r="N431" s="33"/>
      <c r="O431" s="40"/>
      <c r="P431" s="155" t="s">
        <v>547</v>
      </c>
    </row>
    <row r="432" spans="1:16" ht="15" x14ac:dyDescent="0.35">
      <c r="A432" t="s">
        <v>543</v>
      </c>
      <c r="B432" t="str">
        <f t="shared" si="88"/>
        <v>iBoxx MSCI GBP Corporates Paris Aligned Capped TCA Index68</v>
      </c>
      <c r="C432" t="s">
        <v>544</v>
      </c>
      <c r="D432" t="s">
        <v>545</v>
      </c>
      <c r="E432" t="s">
        <v>546</v>
      </c>
      <c r="F432">
        <v>68</v>
      </c>
      <c r="G432" t="s">
        <v>535</v>
      </c>
      <c r="H432" s="26">
        <v>46721</v>
      </c>
      <c r="I432" s="33"/>
      <c r="J432" s="33">
        <f t="shared" si="84"/>
        <v>0</v>
      </c>
      <c r="K432" s="33">
        <f t="shared" si="85"/>
        <v>12862816.445798317</v>
      </c>
      <c r="L432" s="33">
        <f t="shared" si="86"/>
        <v>0</v>
      </c>
      <c r="M432" s="33">
        <f t="shared" si="87"/>
        <v>0</v>
      </c>
      <c r="N432" s="33"/>
      <c r="O432" s="40"/>
      <c r="P432" s="155" t="s">
        <v>547</v>
      </c>
    </row>
    <row r="433" spans="1:16" ht="15" x14ac:dyDescent="0.35">
      <c r="A433" t="s">
        <v>543</v>
      </c>
      <c r="B433" t="str">
        <f t="shared" si="88"/>
        <v>iBoxx MSCI GBP Corporates Paris Aligned Capped TCA Index69</v>
      </c>
      <c r="C433" t="s">
        <v>544</v>
      </c>
      <c r="D433" t="s">
        <v>545</v>
      </c>
      <c r="E433" t="s">
        <v>546</v>
      </c>
      <c r="F433">
        <v>69</v>
      </c>
      <c r="G433" t="s">
        <v>535</v>
      </c>
      <c r="H433" s="26">
        <v>46752</v>
      </c>
      <c r="I433" s="33"/>
      <c r="J433" s="33">
        <f t="shared" si="84"/>
        <v>0</v>
      </c>
      <c r="K433" s="33">
        <f t="shared" si="85"/>
        <v>12785262.562848555</v>
      </c>
      <c r="L433" s="33">
        <f t="shared" si="86"/>
        <v>0</v>
      </c>
      <c r="M433" s="33">
        <f t="shared" si="87"/>
        <v>0</v>
      </c>
      <c r="N433" s="33"/>
      <c r="O433" s="40"/>
      <c r="P433" s="155" t="s">
        <v>547</v>
      </c>
    </row>
    <row r="434" spans="1:16" ht="15" x14ac:dyDescent="0.35">
      <c r="A434" t="s">
        <v>543</v>
      </c>
      <c r="B434" t="str">
        <f t="shared" si="88"/>
        <v>iBoxx MSCI GBP Corporates Paris Aligned Capped TCA Index70</v>
      </c>
      <c r="C434" t="s">
        <v>544</v>
      </c>
      <c r="D434" t="s">
        <v>545</v>
      </c>
      <c r="E434" t="s">
        <v>546</v>
      </c>
      <c r="F434">
        <v>70</v>
      </c>
      <c r="G434" t="s">
        <v>535</v>
      </c>
      <c r="H434" s="26">
        <v>46783</v>
      </c>
      <c r="I434" s="33"/>
      <c r="J434" s="33">
        <f t="shared" si="84"/>
        <v>0</v>
      </c>
      <c r="K434" s="33">
        <f t="shared" si="85"/>
        <v>12708176.276150823</v>
      </c>
      <c r="L434" s="33">
        <f t="shared" si="86"/>
        <v>0</v>
      </c>
      <c r="M434" s="33">
        <f t="shared" si="87"/>
        <v>0</v>
      </c>
      <c r="N434" s="33"/>
      <c r="O434" s="40"/>
      <c r="P434" s="155" t="s">
        <v>547</v>
      </c>
    </row>
    <row r="435" spans="1:16" ht="15" x14ac:dyDescent="0.35">
      <c r="A435" t="s">
        <v>543</v>
      </c>
      <c r="B435" t="str">
        <f t="shared" si="88"/>
        <v>iBoxx MSCI GBP Corporates Paris Aligned Capped TCA Index71</v>
      </c>
      <c r="C435" t="s">
        <v>544</v>
      </c>
      <c r="D435" t="s">
        <v>545</v>
      </c>
      <c r="E435" t="s">
        <v>546</v>
      </c>
      <c r="F435">
        <v>71</v>
      </c>
      <c r="G435" t="s">
        <v>535</v>
      </c>
      <c r="H435" s="26">
        <v>46811</v>
      </c>
      <c r="I435" s="33"/>
      <c r="J435" s="33">
        <f t="shared" si="84"/>
        <v>0</v>
      </c>
      <c r="K435" s="33">
        <f t="shared" si="85"/>
        <v>12631554.766423263</v>
      </c>
      <c r="L435" s="33">
        <f t="shared" si="86"/>
        <v>0</v>
      </c>
      <c r="M435" s="33">
        <f t="shared" si="87"/>
        <v>0</v>
      </c>
      <c r="N435" s="33"/>
      <c r="O435" s="40"/>
      <c r="P435" s="155" t="s">
        <v>547</v>
      </c>
    </row>
    <row r="436" spans="1:16" ht="15" x14ac:dyDescent="0.35">
      <c r="A436" t="s">
        <v>543</v>
      </c>
      <c r="B436" t="str">
        <f t="shared" si="88"/>
        <v>iBoxx MSCI GBP Corporates Paris Aligned Capped TCA Index72</v>
      </c>
      <c r="C436" t="s">
        <v>544</v>
      </c>
      <c r="D436" t="s">
        <v>545</v>
      </c>
      <c r="E436" t="s">
        <v>546</v>
      </c>
      <c r="F436">
        <v>72</v>
      </c>
      <c r="G436" t="s">
        <v>535</v>
      </c>
      <c r="H436" s="26">
        <v>46843</v>
      </c>
      <c r="I436" s="33"/>
      <c r="J436" s="33">
        <f t="shared" si="84"/>
        <v>0</v>
      </c>
      <c r="K436" s="33">
        <f t="shared" si="85"/>
        <v>12555395.231382344</v>
      </c>
      <c r="L436" s="33">
        <f t="shared" si="86"/>
        <v>0</v>
      </c>
      <c r="M436" s="33">
        <f t="shared" si="87"/>
        <v>0</v>
      </c>
      <c r="N436" s="33"/>
      <c r="O436" s="40"/>
      <c r="P436" s="155" t="s">
        <v>547</v>
      </c>
    </row>
    <row r="437" spans="1:16" ht="15" x14ac:dyDescent="0.35">
      <c r="A437" t="s">
        <v>543</v>
      </c>
      <c r="B437" t="str">
        <f t="shared" si="88"/>
        <v>iBoxx MSCI GBP Corporates Paris Aligned Capped TCA Index73</v>
      </c>
      <c r="C437" t="s">
        <v>544</v>
      </c>
      <c r="D437" t="s">
        <v>545</v>
      </c>
      <c r="E437" t="s">
        <v>546</v>
      </c>
      <c r="F437">
        <v>73</v>
      </c>
      <c r="G437" t="s">
        <v>535</v>
      </c>
      <c r="H437" s="26">
        <v>46873</v>
      </c>
      <c r="I437" s="33"/>
      <c r="J437" s="33">
        <f t="shared" si="84"/>
        <v>0</v>
      </c>
      <c r="K437" s="33">
        <f t="shared" si="85"/>
        <v>12479694.885640359</v>
      </c>
      <c r="L437" s="33">
        <f t="shared" si="86"/>
        <v>0</v>
      </c>
      <c r="M437" s="33">
        <f t="shared" si="87"/>
        <v>0</v>
      </c>
      <c r="N437" s="33"/>
      <c r="O437" s="40"/>
      <c r="P437" s="155" t="s">
        <v>547</v>
      </c>
    </row>
    <row r="438" spans="1:16" ht="15" x14ac:dyDescent="0.35">
      <c r="A438" t="s">
        <v>543</v>
      </c>
      <c r="B438" t="str">
        <f t="shared" si="88"/>
        <v>iBoxx MSCI GBP Corporates Paris Aligned Capped TCA Index74</v>
      </c>
      <c r="C438" t="s">
        <v>544</v>
      </c>
      <c r="D438" t="s">
        <v>545</v>
      </c>
      <c r="E438" t="s">
        <v>546</v>
      </c>
      <c r="F438">
        <v>74</v>
      </c>
      <c r="G438" t="s">
        <v>535</v>
      </c>
      <c r="H438" s="26">
        <v>46904</v>
      </c>
      <c r="I438" s="33"/>
      <c r="J438" s="33">
        <f t="shared" si="84"/>
        <v>0</v>
      </c>
      <c r="K438" s="33">
        <f t="shared" si="85"/>
        <v>12404450.960603565</v>
      </c>
      <c r="L438" s="33">
        <f t="shared" si="86"/>
        <v>0</v>
      </c>
      <c r="M438" s="33">
        <f t="shared" si="87"/>
        <v>0</v>
      </c>
      <c r="N438" s="33"/>
      <c r="O438" s="40"/>
      <c r="P438" s="155" t="s">
        <v>547</v>
      </c>
    </row>
    <row r="439" spans="1:16" ht="15" x14ac:dyDescent="0.35">
      <c r="A439" t="s">
        <v>543</v>
      </c>
      <c r="B439" t="str">
        <f t="shared" si="88"/>
        <v>iBoxx MSCI GBP Corporates Paris Aligned Capped TCA Index75</v>
      </c>
      <c r="C439" t="s">
        <v>544</v>
      </c>
      <c r="D439" t="s">
        <v>545</v>
      </c>
      <c r="E439" t="s">
        <v>546</v>
      </c>
      <c r="F439">
        <v>75</v>
      </c>
      <c r="G439" t="s">
        <v>535</v>
      </c>
      <c r="H439" s="26">
        <v>46934</v>
      </c>
      <c r="I439" s="33"/>
      <c r="J439" s="33">
        <f t="shared" si="84"/>
        <v>0</v>
      </c>
      <c r="K439" s="33">
        <f t="shared" si="85"/>
        <v>12329660.704370921</v>
      </c>
      <c r="L439" s="33">
        <f t="shared" si="86"/>
        <v>0</v>
      </c>
      <c r="M439" s="33">
        <f t="shared" si="87"/>
        <v>0</v>
      </c>
      <c r="N439" s="33"/>
      <c r="O439" s="40"/>
      <c r="P439" s="155" t="s">
        <v>547</v>
      </c>
    </row>
    <row r="440" spans="1:16" ht="15" x14ac:dyDescent="0.35">
      <c r="A440" t="s">
        <v>543</v>
      </c>
      <c r="B440" t="str">
        <f t="shared" si="88"/>
        <v>iBoxx MSCI GBP Corporates Paris Aligned Capped TCA Index76</v>
      </c>
      <c r="C440" t="s">
        <v>544</v>
      </c>
      <c r="D440" t="s">
        <v>545</v>
      </c>
      <c r="E440" t="s">
        <v>546</v>
      </c>
      <c r="F440">
        <v>76</v>
      </c>
      <c r="G440" t="s">
        <v>535</v>
      </c>
      <c r="H440" s="26">
        <v>46965</v>
      </c>
      <c r="I440" s="33"/>
      <c r="J440" s="33">
        <f t="shared" si="84"/>
        <v>0</v>
      </c>
      <c r="K440" s="33">
        <f t="shared" si="85"/>
        <v>12255321.381633451</v>
      </c>
      <c r="L440" s="33">
        <f t="shared" si="86"/>
        <v>0</v>
      </c>
      <c r="M440" s="33">
        <f t="shared" si="87"/>
        <v>0</v>
      </c>
      <c r="N440" s="33"/>
      <c r="O440" s="40"/>
      <c r="P440" s="155" t="s">
        <v>547</v>
      </c>
    </row>
    <row r="441" spans="1:16" ht="15" x14ac:dyDescent="0.35">
      <c r="A441" t="s">
        <v>543</v>
      </c>
      <c r="B441" t="str">
        <f t="shared" si="88"/>
        <v>iBoxx MSCI GBP Corporates Paris Aligned Capped TCA Index77</v>
      </c>
      <c r="C441" t="s">
        <v>544</v>
      </c>
      <c r="D441" t="s">
        <v>545</v>
      </c>
      <c r="E441" t="s">
        <v>546</v>
      </c>
      <c r="F441">
        <v>77</v>
      </c>
      <c r="G441" t="s">
        <v>535</v>
      </c>
      <c r="H441" s="26">
        <v>46996</v>
      </c>
      <c r="I441" s="33"/>
      <c r="J441" s="33">
        <f t="shared" si="84"/>
        <v>0</v>
      </c>
      <c r="K441" s="33">
        <f t="shared" si="85"/>
        <v>12181430.27357419</v>
      </c>
      <c r="L441" s="33">
        <f t="shared" si="86"/>
        <v>0</v>
      </c>
      <c r="M441" s="33">
        <f t="shared" si="87"/>
        <v>0</v>
      </c>
      <c r="N441" s="33"/>
      <c r="O441" s="40"/>
      <c r="P441" s="155" t="s">
        <v>547</v>
      </c>
    </row>
    <row r="442" spans="1:16" ht="15" x14ac:dyDescent="0.35">
      <c r="A442" t="s">
        <v>543</v>
      </c>
      <c r="B442" t="str">
        <f t="shared" si="88"/>
        <v>iBoxx MSCI GBP Corporates Paris Aligned Capped TCA Index78</v>
      </c>
      <c r="C442" t="s">
        <v>544</v>
      </c>
      <c r="D442" t="s">
        <v>545</v>
      </c>
      <c r="E442" t="s">
        <v>546</v>
      </c>
      <c r="F442">
        <v>78</v>
      </c>
      <c r="G442" t="s">
        <v>535</v>
      </c>
      <c r="H442" s="26">
        <v>47026</v>
      </c>
      <c r="I442" s="33"/>
      <c r="J442" s="33">
        <f t="shared" si="84"/>
        <v>0</v>
      </c>
      <c r="K442" s="33">
        <f t="shared" si="85"/>
        <v>12107984.677768765</v>
      </c>
      <c r="L442" s="33">
        <f t="shared" si="86"/>
        <v>0</v>
      </c>
      <c r="M442" s="33">
        <f t="shared" si="87"/>
        <v>0</v>
      </c>
      <c r="N442" s="33"/>
      <c r="O442" s="40"/>
      <c r="P442" s="155" t="s">
        <v>547</v>
      </c>
    </row>
    <row r="443" spans="1:16" ht="15" x14ac:dyDescent="0.35">
      <c r="A443" t="s">
        <v>543</v>
      </c>
      <c r="B443" t="str">
        <f t="shared" si="88"/>
        <v>iBoxx MSCI GBP Corporates Paris Aligned Capped TCA Index79</v>
      </c>
      <c r="C443" t="s">
        <v>544</v>
      </c>
      <c r="D443" t="s">
        <v>545</v>
      </c>
      <c r="E443" t="s">
        <v>546</v>
      </c>
      <c r="F443">
        <v>79</v>
      </c>
      <c r="G443" t="s">
        <v>535</v>
      </c>
      <c r="H443" s="26">
        <v>47057</v>
      </c>
      <c r="I443" s="33"/>
      <c r="J443" s="33">
        <f t="shared" si="84"/>
        <v>0</v>
      </c>
      <c r="K443" s="33">
        <f t="shared" si="85"/>
        <v>12034981.908086553</v>
      </c>
      <c r="L443" s="33">
        <f t="shared" si="86"/>
        <v>0</v>
      </c>
      <c r="M443" s="33">
        <f t="shared" si="87"/>
        <v>0</v>
      </c>
      <c r="N443" s="33"/>
      <c r="O443" s="40"/>
      <c r="P443" s="155" t="s">
        <v>547</v>
      </c>
    </row>
    <row r="444" spans="1:16" ht="15" x14ac:dyDescent="0.35">
      <c r="A444" t="s">
        <v>543</v>
      </c>
      <c r="B444" t="str">
        <f t="shared" si="88"/>
        <v>iBoxx MSCI GBP Corporates Paris Aligned Capped TCA Index80</v>
      </c>
      <c r="C444" t="s">
        <v>544</v>
      </c>
      <c r="D444" t="s">
        <v>545</v>
      </c>
      <c r="E444" t="s">
        <v>546</v>
      </c>
      <c r="F444">
        <v>80</v>
      </c>
      <c r="G444" t="s">
        <v>535</v>
      </c>
      <c r="H444" s="26">
        <v>47087</v>
      </c>
      <c r="I444" s="33"/>
      <c r="J444" s="33">
        <f t="shared" si="84"/>
        <v>0</v>
      </c>
      <c r="K444" s="33">
        <f t="shared" si="85"/>
        <v>11962419.294592435</v>
      </c>
      <c r="L444" s="33">
        <f t="shared" si="86"/>
        <v>0</v>
      </c>
      <c r="M444" s="33">
        <f t="shared" si="87"/>
        <v>0</v>
      </c>
      <c r="N444" s="33"/>
      <c r="O444" s="40"/>
      <c r="P444" s="155" t="s">
        <v>547</v>
      </c>
    </row>
    <row r="445" spans="1:16" ht="15" x14ac:dyDescent="0.35">
      <c r="A445" t="s">
        <v>543</v>
      </c>
      <c r="B445" t="str">
        <f t="shared" si="88"/>
        <v>iBoxx MSCI GBP Corporates Paris Aligned Capped TCA Index81</v>
      </c>
      <c r="C445" t="s">
        <v>544</v>
      </c>
      <c r="D445" t="s">
        <v>545</v>
      </c>
      <c r="E445" t="s">
        <v>546</v>
      </c>
      <c r="F445">
        <v>81</v>
      </c>
      <c r="G445" t="s">
        <v>535</v>
      </c>
      <c r="H445" s="26">
        <v>47118</v>
      </c>
      <c r="I445" s="33"/>
      <c r="J445" s="33">
        <f t="shared" ref="J445:J507" si="89">IF(G445="PA",I445*0.5,IF(G445="CT",I445*0.7,""))</f>
        <v>0</v>
      </c>
      <c r="K445" s="33">
        <f t="shared" si="85"/>
        <v>11890294.183449158</v>
      </c>
      <c r="L445" s="33">
        <f t="shared" si="86"/>
        <v>0</v>
      </c>
      <c r="M445" s="33">
        <f t="shared" si="87"/>
        <v>0</v>
      </c>
      <c r="N445" s="33"/>
      <c r="O445" s="40"/>
      <c r="P445" s="155" t="s">
        <v>547</v>
      </c>
    </row>
    <row r="446" spans="1:16" ht="15" x14ac:dyDescent="0.35">
      <c r="A446" t="s">
        <v>543</v>
      </c>
      <c r="B446" t="str">
        <f t="shared" si="88"/>
        <v>iBoxx MSCI GBP Corporates Paris Aligned Capped TCA Index82</v>
      </c>
      <c r="C446" t="s">
        <v>544</v>
      </c>
      <c r="D446" t="s">
        <v>545</v>
      </c>
      <c r="E446" t="s">
        <v>546</v>
      </c>
      <c r="F446">
        <v>82</v>
      </c>
      <c r="G446" t="s">
        <v>535</v>
      </c>
      <c r="H446" s="26">
        <v>47149</v>
      </c>
      <c r="I446" s="33"/>
      <c r="J446" s="33">
        <f t="shared" si="89"/>
        <v>0</v>
      </c>
      <c r="K446" s="33">
        <f t="shared" si="85"/>
        <v>11818603.936820265</v>
      </c>
      <c r="L446" s="33">
        <f t="shared" si="86"/>
        <v>0</v>
      </c>
      <c r="M446" s="33">
        <f t="shared" si="87"/>
        <v>0</v>
      </c>
      <c r="N446" s="33"/>
      <c r="O446" s="40"/>
      <c r="P446" s="155" t="s">
        <v>547</v>
      </c>
    </row>
    <row r="447" spans="1:16" ht="15" x14ac:dyDescent="0.35">
      <c r="A447" t="s">
        <v>543</v>
      </c>
      <c r="B447" t="str">
        <f t="shared" si="88"/>
        <v>iBoxx MSCI GBP Corporates Paris Aligned Capped TCA Index83</v>
      </c>
      <c r="C447" t="s">
        <v>544</v>
      </c>
      <c r="D447" t="s">
        <v>545</v>
      </c>
      <c r="E447" t="s">
        <v>546</v>
      </c>
      <c r="F447">
        <v>83</v>
      </c>
      <c r="G447" t="s">
        <v>535</v>
      </c>
      <c r="H447" s="26">
        <v>47177</v>
      </c>
      <c r="I447" s="33"/>
      <c r="J447" s="33">
        <f t="shared" si="89"/>
        <v>0</v>
      </c>
      <c r="K447" s="33">
        <f t="shared" si="85"/>
        <v>11747345.932773635</v>
      </c>
      <c r="L447" s="33">
        <f t="shared" si="86"/>
        <v>0</v>
      </c>
      <c r="M447" s="33">
        <f t="shared" si="87"/>
        <v>0</v>
      </c>
      <c r="N447" s="33"/>
      <c r="O447" s="40"/>
      <c r="P447" s="155" t="s">
        <v>547</v>
      </c>
    </row>
    <row r="448" spans="1:16" ht="15" x14ac:dyDescent="0.35">
      <c r="A448" t="s">
        <v>543</v>
      </c>
      <c r="B448" t="str">
        <f t="shared" si="88"/>
        <v>iBoxx MSCI GBP Corporates Paris Aligned Capped TCA Index84</v>
      </c>
      <c r="C448" t="s">
        <v>544</v>
      </c>
      <c r="D448" t="s">
        <v>545</v>
      </c>
      <c r="E448" t="s">
        <v>546</v>
      </c>
      <c r="F448">
        <v>84</v>
      </c>
      <c r="G448" t="s">
        <v>535</v>
      </c>
      <c r="H448" s="26">
        <v>47208</v>
      </c>
      <c r="I448" s="33"/>
      <c r="J448" s="33">
        <f t="shared" si="89"/>
        <v>0</v>
      </c>
      <c r="K448" s="33">
        <f t="shared" si="85"/>
        <v>11676517.56518558</v>
      </c>
      <c r="L448" s="33">
        <f t="shared" si="86"/>
        <v>0</v>
      </c>
      <c r="M448" s="33">
        <f t="shared" si="87"/>
        <v>0</v>
      </c>
      <c r="N448" s="33"/>
      <c r="O448" s="40"/>
      <c r="P448" s="155" t="s">
        <v>547</v>
      </c>
    </row>
    <row r="449" spans="1:16" ht="15" x14ac:dyDescent="0.35">
      <c r="A449" t="s">
        <v>543</v>
      </c>
      <c r="B449" t="str">
        <f t="shared" si="88"/>
        <v>iBoxx MSCI GBP Corporates Paris Aligned Capped TCA Index85</v>
      </c>
      <c r="C449" t="s">
        <v>544</v>
      </c>
      <c r="D449" t="s">
        <v>545</v>
      </c>
      <c r="E449" t="s">
        <v>546</v>
      </c>
      <c r="F449">
        <v>85</v>
      </c>
      <c r="G449" t="s">
        <v>535</v>
      </c>
      <c r="H449" s="26">
        <v>47238</v>
      </c>
      <c r="I449" s="33"/>
      <c r="J449" s="33">
        <f t="shared" si="89"/>
        <v>0</v>
      </c>
      <c r="K449" s="33">
        <f t="shared" si="85"/>
        <v>11606116.243645532</v>
      </c>
      <c r="L449" s="33">
        <f t="shared" si="86"/>
        <v>0</v>
      </c>
      <c r="M449" s="33">
        <f t="shared" si="87"/>
        <v>0</v>
      </c>
      <c r="N449" s="33"/>
      <c r="O449" s="40"/>
      <c r="P449" s="155" t="s">
        <v>547</v>
      </c>
    </row>
    <row r="450" spans="1:16" ht="15" x14ac:dyDescent="0.35">
      <c r="A450" t="s">
        <v>543</v>
      </c>
      <c r="B450" t="str">
        <f t="shared" si="88"/>
        <v>iBoxx MSCI GBP Corporates Paris Aligned Capped TCA Index86</v>
      </c>
      <c r="C450" t="s">
        <v>544</v>
      </c>
      <c r="D450" t="s">
        <v>545</v>
      </c>
      <c r="E450" t="s">
        <v>546</v>
      </c>
      <c r="F450">
        <v>86</v>
      </c>
      <c r="G450" t="s">
        <v>535</v>
      </c>
      <c r="H450" s="26">
        <v>47269</v>
      </c>
      <c r="I450" s="33"/>
      <c r="J450" s="33">
        <f t="shared" si="89"/>
        <v>0</v>
      </c>
      <c r="K450" s="33">
        <f t="shared" si="85"/>
        <v>11536139.393361315</v>
      </c>
      <c r="L450" s="33">
        <f t="shared" si="86"/>
        <v>0</v>
      </c>
      <c r="M450" s="33">
        <f t="shared" si="87"/>
        <v>0</v>
      </c>
      <c r="N450" s="33"/>
      <c r="O450" s="40"/>
      <c r="P450" s="155" t="s">
        <v>547</v>
      </c>
    </row>
    <row r="451" spans="1:16" ht="15" x14ac:dyDescent="0.35">
      <c r="A451" t="s">
        <v>543</v>
      </c>
      <c r="B451" t="str">
        <f t="shared" si="88"/>
        <v>iBoxx MSCI GBP Corporates Paris Aligned Capped TCA Index87</v>
      </c>
      <c r="C451" t="s">
        <v>544</v>
      </c>
      <c r="D451" t="s">
        <v>545</v>
      </c>
      <c r="E451" t="s">
        <v>546</v>
      </c>
      <c r="F451">
        <v>87</v>
      </c>
      <c r="G451" t="s">
        <v>535</v>
      </c>
      <c r="H451" s="26">
        <v>47299</v>
      </c>
      <c r="I451" s="33"/>
      <c r="J451" s="33">
        <f t="shared" si="89"/>
        <v>0</v>
      </c>
      <c r="K451" s="33">
        <f t="shared" si="85"/>
        <v>11466584.455064958</v>
      </c>
      <c r="L451" s="33">
        <f t="shared" si="86"/>
        <v>0</v>
      </c>
      <c r="M451" s="33">
        <f t="shared" si="87"/>
        <v>0</v>
      </c>
      <c r="N451" s="33"/>
      <c r="O451" s="40"/>
      <c r="P451" s="155" t="s">
        <v>547</v>
      </c>
    </row>
    <row r="452" spans="1:16" ht="15" x14ac:dyDescent="0.35">
      <c r="A452" t="s">
        <v>543</v>
      </c>
      <c r="B452" t="str">
        <f t="shared" si="88"/>
        <v>iBoxx MSCI GBP Corporates Paris Aligned Capped TCA Index88</v>
      </c>
      <c r="C452" t="s">
        <v>544</v>
      </c>
      <c r="D452" t="s">
        <v>545</v>
      </c>
      <c r="E452" t="s">
        <v>546</v>
      </c>
      <c r="F452">
        <v>88</v>
      </c>
      <c r="G452" t="s">
        <v>535</v>
      </c>
      <c r="H452" s="26">
        <v>47330</v>
      </c>
      <c r="I452" s="33"/>
      <c r="J452" s="33">
        <f t="shared" si="89"/>
        <v>0</v>
      </c>
      <c r="K452" s="33">
        <f t="shared" ref="K452:K507" si="90">VLOOKUP(C452,$C:$K,8,FALSE)*0.93^(F452/12)</f>
        <v>11397448.884919109</v>
      </c>
      <c r="L452" s="33">
        <f t="shared" si="86"/>
        <v>0</v>
      </c>
      <c r="M452" s="33">
        <f t="shared" si="87"/>
        <v>0</v>
      </c>
      <c r="N452" s="33"/>
      <c r="O452" s="40"/>
      <c r="P452" s="155" t="s">
        <v>547</v>
      </c>
    </row>
    <row r="453" spans="1:16" ht="15" x14ac:dyDescent="0.35">
      <c r="A453" t="s">
        <v>543</v>
      </c>
      <c r="B453" t="str">
        <f t="shared" si="88"/>
        <v>iBoxx MSCI GBP Corporates Paris Aligned Capped TCA Index89</v>
      </c>
      <c r="C453" t="s">
        <v>544</v>
      </c>
      <c r="D453" t="s">
        <v>545</v>
      </c>
      <c r="E453" t="s">
        <v>546</v>
      </c>
      <c r="F453">
        <v>89</v>
      </c>
      <c r="G453" t="s">
        <v>535</v>
      </c>
      <c r="H453" s="26">
        <v>47361</v>
      </c>
      <c r="I453" s="33"/>
      <c r="J453" s="33">
        <f t="shared" si="89"/>
        <v>0</v>
      </c>
      <c r="K453" s="33">
        <f t="shared" si="90"/>
        <v>11328730.154423997</v>
      </c>
      <c r="L453" s="33">
        <f t="shared" ref="L453:L507" si="91">MIN(J453,K453)</f>
        <v>0</v>
      </c>
      <c r="M453" s="33">
        <f t="shared" ref="M453:M507" si="92">L453*0.975</f>
        <v>0</v>
      </c>
      <c r="N453" s="33"/>
      <c r="O453" s="40"/>
      <c r="P453" s="155" t="s">
        <v>547</v>
      </c>
    </row>
    <row r="454" spans="1:16" ht="15" x14ac:dyDescent="0.35">
      <c r="A454" t="s">
        <v>543</v>
      </c>
      <c r="B454" t="str">
        <f t="shared" si="88"/>
        <v>iBoxx MSCI GBP Corporates Paris Aligned Capped TCA Index90</v>
      </c>
      <c r="C454" t="s">
        <v>544</v>
      </c>
      <c r="D454" t="s">
        <v>545</v>
      </c>
      <c r="E454" t="s">
        <v>546</v>
      </c>
      <c r="F454">
        <v>90</v>
      </c>
      <c r="G454" t="s">
        <v>535</v>
      </c>
      <c r="H454" s="26">
        <v>47391</v>
      </c>
      <c r="I454" s="33"/>
      <c r="J454" s="33">
        <f t="shared" si="89"/>
        <v>0</v>
      </c>
      <c r="K454" s="33">
        <f t="shared" si="90"/>
        <v>11260425.750324953</v>
      </c>
      <c r="L454" s="33">
        <f t="shared" si="91"/>
        <v>0</v>
      </c>
      <c r="M454" s="33">
        <f t="shared" si="92"/>
        <v>0</v>
      </c>
      <c r="N454" s="33"/>
      <c r="O454" s="40"/>
      <c r="P454" s="155" t="s">
        <v>547</v>
      </c>
    </row>
    <row r="455" spans="1:16" ht="15" x14ac:dyDescent="0.35">
      <c r="A455" t="s">
        <v>543</v>
      </c>
      <c r="B455" t="str">
        <f t="shared" si="88"/>
        <v>iBoxx MSCI GBP Corporates Paris Aligned Capped TCA Index91</v>
      </c>
      <c r="C455" t="s">
        <v>544</v>
      </c>
      <c r="D455" t="s">
        <v>545</v>
      </c>
      <c r="E455" t="s">
        <v>546</v>
      </c>
      <c r="F455">
        <v>91</v>
      </c>
      <c r="G455" t="s">
        <v>535</v>
      </c>
      <c r="H455" s="26">
        <v>47422</v>
      </c>
      <c r="I455" s="33"/>
      <c r="J455" s="33">
        <f t="shared" si="89"/>
        <v>0</v>
      </c>
      <c r="K455" s="33">
        <f t="shared" si="90"/>
        <v>11192533.174520494</v>
      </c>
      <c r="L455" s="33">
        <f t="shared" si="91"/>
        <v>0</v>
      </c>
      <c r="M455" s="33">
        <f t="shared" si="92"/>
        <v>0</v>
      </c>
      <c r="N455" s="33"/>
      <c r="O455" s="40"/>
      <c r="P455" s="155" t="s">
        <v>547</v>
      </c>
    </row>
    <row r="456" spans="1:16" ht="15" x14ac:dyDescent="0.35">
      <c r="A456" t="s">
        <v>543</v>
      </c>
      <c r="B456" t="str">
        <f t="shared" si="88"/>
        <v>iBoxx MSCI GBP Corporates Paris Aligned Capped TCA Index92</v>
      </c>
      <c r="C456" t="s">
        <v>544</v>
      </c>
      <c r="D456" t="s">
        <v>545</v>
      </c>
      <c r="E456" t="s">
        <v>546</v>
      </c>
      <c r="F456">
        <v>92</v>
      </c>
      <c r="G456" t="s">
        <v>535</v>
      </c>
      <c r="H456" s="26">
        <v>47452</v>
      </c>
      <c r="I456" s="33"/>
      <c r="J456" s="33">
        <f t="shared" si="89"/>
        <v>0</v>
      </c>
      <c r="K456" s="33">
        <f t="shared" si="90"/>
        <v>11125049.943970967</v>
      </c>
      <c r="L456" s="33">
        <f t="shared" si="91"/>
        <v>0</v>
      </c>
      <c r="M456" s="33">
        <f t="shared" si="92"/>
        <v>0</v>
      </c>
      <c r="N456" s="33"/>
      <c r="O456" s="40"/>
      <c r="P456" s="155" t="s">
        <v>547</v>
      </c>
    </row>
    <row r="457" spans="1:16" ht="15" x14ac:dyDescent="0.35">
      <c r="A457" t="s">
        <v>543</v>
      </c>
      <c r="B457" t="str">
        <f t="shared" si="88"/>
        <v>iBoxx MSCI GBP Corporates Paris Aligned Capped TCA Index93</v>
      </c>
      <c r="C457" t="s">
        <v>544</v>
      </c>
      <c r="D457" t="s">
        <v>545</v>
      </c>
      <c r="E457" t="s">
        <v>546</v>
      </c>
      <c r="F457">
        <v>93</v>
      </c>
      <c r="G457" t="s">
        <v>535</v>
      </c>
      <c r="H457" s="26">
        <v>47483</v>
      </c>
      <c r="I457" s="33"/>
      <c r="J457" s="33">
        <f t="shared" si="89"/>
        <v>0</v>
      </c>
      <c r="K457" s="33">
        <f t="shared" si="90"/>
        <v>11057973.590607718</v>
      </c>
      <c r="L457" s="33">
        <f t="shared" si="91"/>
        <v>0</v>
      </c>
      <c r="M457" s="33">
        <f t="shared" si="92"/>
        <v>0</v>
      </c>
      <c r="N457" s="33"/>
      <c r="O457" s="40"/>
      <c r="P457" s="155" t="s">
        <v>547</v>
      </c>
    </row>
    <row r="458" spans="1:16" ht="15" x14ac:dyDescent="0.35">
      <c r="A458" t="s">
        <v>543</v>
      </c>
      <c r="B458" t="str">
        <f t="shared" si="88"/>
        <v>iBoxx MSCI GBP Corporates Paris Aligned Capped TCA Index94</v>
      </c>
      <c r="C458" t="s">
        <v>544</v>
      </c>
      <c r="D458" t="s">
        <v>545</v>
      </c>
      <c r="E458" t="s">
        <v>546</v>
      </c>
      <c r="F458">
        <v>94</v>
      </c>
      <c r="G458" t="s">
        <v>535</v>
      </c>
      <c r="H458" s="26">
        <v>47514</v>
      </c>
      <c r="I458" s="33"/>
      <c r="J458" s="33">
        <f t="shared" si="89"/>
        <v>0</v>
      </c>
      <c r="K458" s="33">
        <f t="shared" si="90"/>
        <v>10991301.661242846</v>
      </c>
      <c r="L458" s="33">
        <f t="shared" si="91"/>
        <v>0</v>
      </c>
      <c r="M458" s="33">
        <f t="shared" si="92"/>
        <v>0</v>
      </c>
      <c r="N458" s="33"/>
      <c r="O458" s="40"/>
      <c r="P458" s="155" t="s">
        <v>547</v>
      </c>
    </row>
    <row r="459" spans="1:16" ht="15" x14ac:dyDescent="0.35">
      <c r="A459" t="s">
        <v>543</v>
      </c>
      <c r="B459" t="str">
        <f t="shared" si="88"/>
        <v>iBoxx MSCI GBP Corporates Paris Aligned Capped TCA Index95</v>
      </c>
      <c r="C459" t="s">
        <v>544</v>
      </c>
      <c r="D459" t="s">
        <v>545</v>
      </c>
      <c r="E459" t="s">
        <v>546</v>
      </c>
      <c r="F459">
        <v>95</v>
      </c>
      <c r="G459" t="s">
        <v>535</v>
      </c>
      <c r="H459" s="26">
        <v>47542</v>
      </c>
      <c r="I459" s="33"/>
      <c r="J459" s="33">
        <f t="shared" si="89"/>
        <v>0</v>
      </c>
      <c r="K459" s="33">
        <f t="shared" si="90"/>
        <v>10925031.717479482</v>
      </c>
      <c r="L459" s="33">
        <f t="shared" si="91"/>
        <v>0</v>
      </c>
      <c r="M459" s="33">
        <f t="shared" si="92"/>
        <v>0</v>
      </c>
      <c r="N459" s="33"/>
      <c r="O459" s="40"/>
      <c r="P459" s="155" t="s">
        <v>547</v>
      </c>
    </row>
    <row r="460" spans="1:16" ht="15" x14ac:dyDescent="0.35">
      <c r="A460" t="s">
        <v>543</v>
      </c>
      <c r="B460" t="str">
        <f t="shared" si="88"/>
        <v>iBoxx MSCI GBP Corporates Paris Aligned Capped TCA Index96</v>
      </c>
      <c r="C460" t="s">
        <v>544</v>
      </c>
      <c r="D460" t="s">
        <v>545</v>
      </c>
      <c r="E460" t="s">
        <v>546</v>
      </c>
      <c r="F460">
        <v>96</v>
      </c>
      <c r="G460" t="s">
        <v>535</v>
      </c>
      <c r="H460" s="26">
        <v>47573</v>
      </c>
      <c r="I460" s="33"/>
      <c r="J460" s="33">
        <f t="shared" si="89"/>
        <v>0</v>
      </c>
      <c r="K460" s="33">
        <f t="shared" si="90"/>
        <v>10859161.335622592</v>
      </c>
      <c r="L460" s="33">
        <f t="shared" si="91"/>
        <v>0</v>
      </c>
      <c r="M460" s="33">
        <f t="shared" si="92"/>
        <v>0</v>
      </c>
      <c r="N460" s="33"/>
      <c r="O460" s="40"/>
      <c r="P460" s="155" t="s">
        <v>547</v>
      </c>
    </row>
    <row r="461" spans="1:16" ht="15" x14ac:dyDescent="0.35">
      <c r="A461" t="s">
        <v>543</v>
      </c>
      <c r="B461" t="str">
        <f t="shared" si="88"/>
        <v>iBoxx MSCI GBP Corporates Paris Aligned Capped TCA Index97</v>
      </c>
      <c r="C461" t="s">
        <v>544</v>
      </c>
      <c r="D461" t="s">
        <v>545</v>
      </c>
      <c r="E461" t="s">
        <v>546</v>
      </c>
      <c r="F461">
        <v>97</v>
      </c>
      <c r="G461" t="s">
        <v>535</v>
      </c>
      <c r="H461" s="26">
        <v>47603</v>
      </c>
      <c r="I461" s="33"/>
      <c r="J461" s="33">
        <f t="shared" si="89"/>
        <v>0</v>
      </c>
      <c r="K461" s="33">
        <f t="shared" si="90"/>
        <v>10793688.106590346</v>
      </c>
      <c r="L461" s="33">
        <f t="shared" si="91"/>
        <v>0</v>
      </c>
      <c r="M461" s="33">
        <f t="shared" si="92"/>
        <v>0</v>
      </c>
      <c r="N461" s="33"/>
      <c r="O461" s="40"/>
      <c r="P461" s="155" t="s">
        <v>547</v>
      </c>
    </row>
    <row r="462" spans="1:16" ht="15" x14ac:dyDescent="0.35">
      <c r="A462" t="s">
        <v>543</v>
      </c>
      <c r="B462" t="str">
        <f t="shared" si="88"/>
        <v>iBoxx MSCI GBP Corporates Paris Aligned Capped TCA Index98</v>
      </c>
      <c r="C462" t="s">
        <v>544</v>
      </c>
      <c r="D462" t="s">
        <v>545</v>
      </c>
      <c r="E462" t="s">
        <v>546</v>
      </c>
      <c r="F462">
        <v>98</v>
      </c>
      <c r="G462" t="s">
        <v>535</v>
      </c>
      <c r="H462" s="26">
        <v>47634</v>
      </c>
      <c r="I462" s="33"/>
      <c r="J462" s="33">
        <f t="shared" si="89"/>
        <v>0</v>
      </c>
      <c r="K462" s="33">
        <f t="shared" si="90"/>
        <v>10728609.635826023</v>
      </c>
      <c r="L462" s="33">
        <f t="shared" si="91"/>
        <v>0</v>
      </c>
      <c r="M462" s="33">
        <f t="shared" si="92"/>
        <v>0</v>
      </c>
      <c r="N462" s="33"/>
      <c r="O462" s="40"/>
      <c r="P462" s="155" t="s">
        <v>547</v>
      </c>
    </row>
    <row r="463" spans="1:16" ht="15" x14ac:dyDescent="0.35">
      <c r="A463" t="s">
        <v>543</v>
      </c>
      <c r="B463" t="str">
        <f t="shared" si="88"/>
        <v>iBoxx MSCI GBP Corporates Paris Aligned Capped TCA Index99</v>
      </c>
      <c r="C463" t="s">
        <v>544</v>
      </c>
      <c r="D463" t="s">
        <v>545</v>
      </c>
      <c r="E463" t="s">
        <v>546</v>
      </c>
      <c r="F463">
        <v>99</v>
      </c>
      <c r="G463" t="s">
        <v>535</v>
      </c>
      <c r="H463" s="26">
        <v>47664</v>
      </c>
      <c r="I463" s="33"/>
      <c r="J463" s="33">
        <f t="shared" si="89"/>
        <v>0</v>
      </c>
      <c r="K463" s="33">
        <f t="shared" si="90"/>
        <v>10663923.543210411</v>
      </c>
      <c r="L463" s="33">
        <f t="shared" si="91"/>
        <v>0</v>
      </c>
      <c r="M463" s="33">
        <f t="shared" si="92"/>
        <v>0</v>
      </c>
      <c r="N463" s="33"/>
      <c r="O463" s="40"/>
      <c r="P463" s="155" t="s">
        <v>547</v>
      </c>
    </row>
    <row r="464" spans="1:16" ht="15" x14ac:dyDescent="0.35">
      <c r="A464" t="s">
        <v>543</v>
      </c>
      <c r="B464" t="str">
        <f t="shared" si="88"/>
        <v>iBoxx MSCI GBP Corporates Paris Aligned Capped TCA Index100</v>
      </c>
      <c r="C464" t="s">
        <v>544</v>
      </c>
      <c r="D464" t="s">
        <v>545</v>
      </c>
      <c r="E464" t="s">
        <v>546</v>
      </c>
      <c r="F464">
        <v>100</v>
      </c>
      <c r="G464" t="s">
        <v>535</v>
      </c>
      <c r="H464" s="26">
        <v>47695</v>
      </c>
      <c r="I464" s="33"/>
      <c r="J464" s="33">
        <f t="shared" si="89"/>
        <v>0</v>
      </c>
      <c r="K464" s="33">
        <f t="shared" si="90"/>
        <v>10599627.462974772</v>
      </c>
      <c r="L464" s="33">
        <f t="shared" si="91"/>
        <v>0</v>
      </c>
      <c r="M464" s="33">
        <f t="shared" si="92"/>
        <v>0</v>
      </c>
      <c r="N464" s="33"/>
      <c r="O464" s="40"/>
      <c r="P464" s="155" t="s">
        <v>547</v>
      </c>
    </row>
    <row r="465" spans="1:19" ht="15" x14ac:dyDescent="0.35">
      <c r="A465" t="s">
        <v>543</v>
      </c>
      <c r="B465" t="str">
        <f t="shared" si="88"/>
        <v>iBoxx MSCI GBP Corporates Paris Aligned Capped TCA Index101</v>
      </c>
      <c r="C465" t="s">
        <v>544</v>
      </c>
      <c r="D465" t="s">
        <v>545</v>
      </c>
      <c r="E465" t="s">
        <v>546</v>
      </c>
      <c r="F465">
        <v>101</v>
      </c>
      <c r="G465" t="s">
        <v>535</v>
      </c>
      <c r="H465" s="26">
        <v>47726</v>
      </c>
      <c r="I465" s="33"/>
      <c r="J465" s="33">
        <f t="shared" si="89"/>
        <v>0</v>
      </c>
      <c r="K465" s="33">
        <f t="shared" si="90"/>
        <v>10535719.043614319</v>
      </c>
      <c r="L465" s="33">
        <f t="shared" si="91"/>
        <v>0</v>
      </c>
      <c r="M465" s="33">
        <f t="shared" si="92"/>
        <v>0</v>
      </c>
      <c r="N465" s="33"/>
      <c r="O465" s="40"/>
      <c r="P465" s="155" t="s">
        <v>547</v>
      </c>
    </row>
    <row r="466" spans="1:19" ht="15" x14ac:dyDescent="0.35">
      <c r="A466" t="s">
        <v>543</v>
      </c>
      <c r="B466" t="str">
        <f t="shared" si="88"/>
        <v>iBoxx MSCI GBP Corporates Paris Aligned Capped TCA Index102</v>
      </c>
      <c r="C466" t="s">
        <v>544</v>
      </c>
      <c r="D466" t="s">
        <v>545</v>
      </c>
      <c r="E466" t="s">
        <v>546</v>
      </c>
      <c r="F466">
        <v>102</v>
      </c>
      <c r="G466" t="s">
        <v>535</v>
      </c>
      <c r="H466" s="26">
        <v>47756</v>
      </c>
      <c r="I466" s="33"/>
      <c r="J466" s="33">
        <f t="shared" si="89"/>
        <v>0</v>
      </c>
      <c r="K466" s="33">
        <f t="shared" si="90"/>
        <v>10472195.947802207</v>
      </c>
      <c r="L466" s="33">
        <f t="shared" si="91"/>
        <v>0</v>
      </c>
      <c r="M466" s="33">
        <f t="shared" si="92"/>
        <v>0</v>
      </c>
      <c r="N466" s="33"/>
      <c r="O466" s="40"/>
      <c r="P466" s="155" t="s">
        <v>547</v>
      </c>
      <c r="S466" s="26"/>
    </row>
    <row r="467" spans="1:19" ht="15" x14ac:dyDescent="0.35">
      <c r="A467" t="s">
        <v>543</v>
      </c>
      <c r="B467" t="str">
        <f t="shared" si="88"/>
        <v>iBoxx MSCI GBP Corporates Paris Aligned Capped TCA Index103</v>
      </c>
      <c r="C467" t="s">
        <v>544</v>
      </c>
      <c r="D467" t="s">
        <v>545</v>
      </c>
      <c r="E467" t="s">
        <v>546</v>
      </c>
      <c r="F467">
        <v>103</v>
      </c>
      <c r="G467" t="s">
        <v>535</v>
      </c>
      <c r="H467" s="26">
        <v>47787</v>
      </c>
      <c r="I467" s="33"/>
      <c r="J467" s="33">
        <f t="shared" si="89"/>
        <v>0</v>
      </c>
      <c r="K467" s="33">
        <f t="shared" si="90"/>
        <v>10409055.852304062</v>
      </c>
      <c r="L467" s="33">
        <f t="shared" si="91"/>
        <v>0</v>
      </c>
      <c r="M467" s="33">
        <f t="shared" si="92"/>
        <v>0</v>
      </c>
      <c r="N467" s="33"/>
      <c r="O467" s="40"/>
      <c r="P467" s="155" t="s">
        <v>547</v>
      </c>
      <c r="S467" s="26"/>
    </row>
    <row r="468" spans="1:19" ht="15" x14ac:dyDescent="0.35">
      <c r="A468" t="s">
        <v>543</v>
      </c>
      <c r="B468" t="str">
        <f t="shared" si="88"/>
        <v>iBoxx MSCI GBP Corporates Paris Aligned Capped TCA Index104</v>
      </c>
      <c r="C468" t="s">
        <v>544</v>
      </c>
      <c r="D468" t="s">
        <v>545</v>
      </c>
      <c r="E468" t="s">
        <v>546</v>
      </c>
      <c r="F468">
        <v>104</v>
      </c>
      <c r="G468" t="s">
        <v>535</v>
      </c>
      <c r="H468" s="26">
        <v>47817</v>
      </c>
      <c r="I468" s="33"/>
      <c r="J468" s="33">
        <f t="shared" si="89"/>
        <v>0</v>
      </c>
      <c r="K468" s="33">
        <f t="shared" si="90"/>
        <v>10346296.447892999</v>
      </c>
      <c r="L468" s="33">
        <f t="shared" si="91"/>
        <v>0</v>
      </c>
      <c r="M468" s="33">
        <f t="shared" si="92"/>
        <v>0</v>
      </c>
      <c r="N468" s="33"/>
      <c r="O468" s="40"/>
      <c r="P468" s="155" t="s">
        <v>547</v>
      </c>
      <c r="S468" s="26"/>
    </row>
    <row r="469" spans="1:19" ht="15" x14ac:dyDescent="0.35">
      <c r="A469" t="s">
        <v>543</v>
      </c>
      <c r="B469" t="str">
        <f t="shared" si="88"/>
        <v>iBoxx MSCI GBP Corporates Paris Aligned Capped TCA Index105</v>
      </c>
      <c r="C469" t="s">
        <v>544</v>
      </c>
      <c r="D469" t="s">
        <v>545</v>
      </c>
      <c r="E469" t="s">
        <v>546</v>
      </c>
      <c r="F469">
        <v>105</v>
      </c>
      <c r="G469" t="s">
        <v>535</v>
      </c>
      <c r="H469" s="26">
        <v>47848</v>
      </c>
      <c r="I469" s="33"/>
      <c r="J469" s="33">
        <f t="shared" si="89"/>
        <v>0</v>
      </c>
      <c r="K469" s="33">
        <f t="shared" si="90"/>
        <v>10283915.439265177</v>
      </c>
      <c r="L469" s="33">
        <f t="shared" si="91"/>
        <v>0</v>
      </c>
      <c r="M469" s="33">
        <f t="shared" si="92"/>
        <v>0</v>
      </c>
      <c r="N469" s="33"/>
      <c r="O469" s="40"/>
      <c r="P469" s="155" t="s">
        <v>547</v>
      </c>
      <c r="S469" s="26"/>
    </row>
    <row r="470" spans="1:19" ht="15" x14ac:dyDescent="0.35">
      <c r="A470" t="s">
        <v>543</v>
      </c>
      <c r="B470" t="str">
        <f t="shared" si="88"/>
        <v>iBoxx MSCI GBP Corporates Paris Aligned Capped TCA Index106</v>
      </c>
      <c r="C470" t="s">
        <v>544</v>
      </c>
      <c r="D470" t="s">
        <v>545</v>
      </c>
      <c r="E470" t="s">
        <v>546</v>
      </c>
      <c r="F470">
        <v>106</v>
      </c>
      <c r="G470" t="s">
        <v>535</v>
      </c>
      <c r="H470" s="26">
        <v>47879</v>
      </c>
      <c r="I470" s="33"/>
      <c r="J470" s="33">
        <f t="shared" si="89"/>
        <v>0</v>
      </c>
      <c r="K470" s="33">
        <f t="shared" si="90"/>
        <v>10221910.544955848</v>
      </c>
      <c r="L470" s="33">
        <f t="shared" si="91"/>
        <v>0</v>
      </c>
      <c r="M470" s="33">
        <f t="shared" si="92"/>
        <v>0</v>
      </c>
      <c r="N470" s="33"/>
      <c r="O470" s="40"/>
      <c r="P470" s="155" t="s">
        <v>547</v>
      </c>
      <c r="S470" s="26"/>
    </row>
    <row r="471" spans="1:19" ht="15" x14ac:dyDescent="0.35">
      <c r="A471" t="s">
        <v>543</v>
      </c>
      <c r="B471" t="str">
        <f t="shared" si="88"/>
        <v>iBoxx MSCI GBP Corporates Paris Aligned Capped TCA Index107</v>
      </c>
      <c r="C471" t="s">
        <v>544</v>
      </c>
      <c r="D471" t="s">
        <v>545</v>
      </c>
      <c r="E471" t="s">
        <v>546</v>
      </c>
      <c r="F471">
        <v>107</v>
      </c>
      <c r="G471" t="s">
        <v>535</v>
      </c>
      <c r="H471" s="26">
        <v>47907</v>
      </c>
      <c r="I471" s="33"/>
      <c r="J471" s="33">
        <f t="shared" si="89"/>
        <v>0</v>
      </c>
      <c r="K471" s="33">
        <f t="shared" si="90"/>
        <v>10160279.49725592</v>
      </c>
      <c r="L471" s="33">
        <f t="shared" si="91"/>
        <v>0</v>
      </c>
      <c r="M471" s="33">
        <f t="shared" si="92"/>
        <v>0</v>
      </c>
      <c r="N471" s="33"/>
      <c r="O471" s="40"/>
      <c r="P471" s="155" t="s">
        <v>547</v>
      </c>
      <c r="S471" s="26"/>
    </row>
    <row r="472" spans="1:19" ht="15" x14ac:dyDescent="0.35">
      <c r="A472" t="s">
        <v>543</v>
      </c>
      <c r="B472" t="str">
        <f t="shared" si="88"/>
        <v>iBoxx MSCI GBP Corporates Paris Aligned Capped TCA Index108</v>
      </c>
      <c r="C472" t="s">
        <v>544</v>
      </c>
      <c r="D472" t="s">
        <v>545</v>
      </c>
      <c r="E472" t="s">
        <v>546</v>
      </c>
      <c r="F472">
        <v>108</v>
      </c>
      <c r="G472" t="s">
        <v>535</v>
      </c>
      <c r="H472" s="26">
        <v>47938</v>
      </c>
      <c r="I472" s="33"/>
      <c r="J472" s="33">
        <f t="shared" si="89"/>
        <v>0</v>
      </c>
      <c r="K472" s="33">
        <f t="shared" si="90"/>
        <v>10099020.04212901</v>
      </c>
      <c r="L472" s="33">
        <f t="shared" si="91"/>
        <v>0</v>
      </c>
      <c r="M472" s="33">
        <f t="shared" si="92"/>
        <v>0</v>
      </c>
      <c r="N472" s="33"/>
      <c r="O472" s="40"/>
      <c r="P472" s="155" t="s">
        <v>547</v>
      </c>
      <c r="S472" s="26"/>
    </row>
    <row r="473" spans="1:19" ht="15" x14ac:dyDescent="0.35">
      <c r="A473" t="s">
        <v>543</v>
      </c>
      <c r="B473" t="str">
        <f t="shared" si="88"/>
        <v>iBoxx MSCI GBP Corporates Paris Aligned Capped TCA Index109</v>
      </c>
      <c r="C473" t="s">
        <v>544</v>
      </c>
      <c r="D473" t="s">
        <v>545</v>
      </c>
      <c r="E473" t="s">
        <v>546</v>
      </c>
      <c r="F473">
        <v>109</v>
      </c>
      <c r="G473" t="s">
        <v>535</v>
      </c>
      <c r="H473" s="26">
        <v>47968</v>
      </c>
      <c r="I473" s="33"/>
      <c r="J473" s="33">
        <f t="shared" si="89"/>
        <v>0</v>
      </c>
      <c r="K473" s="33">
        <f t="shared" si="90"/>
        <v>10038129.939129023</v>
      </c>
      <c r="L473" s="33">
        <f t="shared" si="91"/>
        <v>0</v>
      </c>
      <c r="M473" s="33">
        <f t="shared" si="92"/>
        <v>0</v>
      </c>
      <c r="N473" s="33"/>
      <c r="O473" s="40"/>
      <c r="P473" s="155" t="s">
        <v>547</v>
      </c>
      <c r="S473" s="26"/>
    </row>
    <row r="474" spans="1:19" ht="15" x14ac:dyDescent="0.35">
      <c r="A474" t="s">
        <v>543</v>
      </c>
      <c r="B474" t="str">
        <f t="shared" si="88"/>
        <v>iBoxx MSCI GBP Corporates Paris Aligned Capped TCA Index110</v>
      </c>
      <c r="C474" t="s">
        <v>544</v>
      </c>
      <c r="D474" t="s">
        <v>545</v>
      </c>
      <c r="E474" t="s">
        <v>546</v>
      </c>
      <c r="F474">
        <v>110</v>
      </c>
      <c r="G474" t="s">
        <v>535</v>
      </c>
      <c r="H474" s="26">
        <v>47999</v>
      </c>
      <c r="I474" s="33"/>
      <c r="J474" s="33">
        <f t="shared" si="89"/>
        <v>0</v>
      </c>
      <c r="K474" s="33">
        <f t="shared" si="90"/>
        <v>9977606.9613182042</v>
      </c>
      <c r="L474" s="33">
        <f t="shared" si="91"/>
        <v>0</v>
      </c>
      <c r="M474" s="33">
        <f t="shared" si="92"/>
        <v>0</v>
      </c>
      <c r="N474" s="33"/>
      <c r="O474" s="40"/>
      <c r="P474" s="155" t="s">
        <v>547</v>
      </c>
      <c r="S474" s="26"/>
    </row>
    <row r="475" spans="1:19" ht="15" x14ac:dyDescent="0.35">
      <c r="A475" t="s">
        <v>543</v>
      </c>
      <c r="B475" t="str">
        <f t="shared" si="88"/>
        <v>iBoxx MSCI GBP Corporates Paris Aligned Capped TCA Index111</v>
      </c>
      <c r="C475" t="s">
        <v>544</v>
      </c>
      <c r="D475" t="s">
        <v>545</v>
      </c>
      <c r="E475" t="s">
        <v>546</v>
      </c>
      <c r="F475">
        <v>111</v>
      </c>
      <c r="G475" t="s">
        <v>535</v>
      </c>
      <c r="H475" s="26">
        <v>48029</v>
      </c>
      <c r="I475" s="33"/>
      <c r="J475" s="33">
        <f t="shared" si="89"/>
        <v>0</v>
      </c>
      <c r="K475" s="33">
        <f t="shared" si="90"/>
        <v>9917448.8951856848</v>
      </c>
      <c r="L475" s="33">
        <f t="shared" si="91"/>
        <v>0</v>
      </c>
      <c r="M475" s="33">
        <f t="shared" si="92"/>
        <v>0</v>
      </c>
      <c r="N475" s="33"/>
      <c r="O475" s="40"/>
      <c r="P475" s="155" t="s">
        <v>547</v>
      </c>
      <c r="S475" s="26"/>
    </row>
    <row r="476" spans="1:19" ht="15" x14ac:dyDescent="0.35">
      <c r="A476" t="s">
        <v>543</v>
      </c>
      <c r="B476" t="str">
        <f t="shared" si="88"/>
        <v>iBoxx MSCI GBP Corporates Paris Aligned Capped TCA Index112</v>
      </c>
      <c r="C476" t="s">
        <v>544</v>
      </c>
      <c r="D476" t="s">
        <v>545</v>
      </c>
      <c r="E476" t="s">
        <v>546</v>
      </c>
      <c r="F476">
        <v>112</v>
      </c>
      <c r="G476" t="s">
        <v>535</v>
      </c>
      <c r="H476" s="26">
        <v>48060</v>
      </c>
      <c r="I476" s="33"/>
      <c r="J476" s="33">
        <f t="shared" si="89"/>
        <v>0</v>
      </c>
      <c r="K476" s="33">
        <f t="shared" si="90"/>
        <v>9857653.5405665375</v>
      </c>
      <c r="L476" s="33">
        <f t="shared" si="91"/>
        <v>0</v>
      </c>
      <c r="M476" s="33">
        <f t="shared" si="92"/>
        <v>0</v>
      </c>
      <c r="N476" s="33"/>
      <c r="O476" s="40"/>
      <c r="P476" s="155" t="s">
        <v>547</v>
      </c>
      <c r="S476" s="26"/>
    </row>
    <row r="477" spans="1:19" ht="15" x14ac:dyDescent="0.35">
      <c r="A477" t="s">
        <v>543</v>
      </c>
      <c r="B477" t="str">
        <f t="shared" si="88"/>
        <v>iBoxx MSCI GBP Corporates Paris Aligned Capped TCA Index113</v>
      </c>
      <c r="C477" t="s">
        <v>544</v>
      </c>
      <c r="D477" t="s">
        <v>545</v>
      </c>
      <c r="E477" t="s">
        <v>546</v>
      </c>
      <c r="F477">
        <v>113</v>
      </c>
      <c r="G477" t="s">
        <v>535</v>
      </c>
      <c r="H477" s="26">
        <v>48091</v>
      </c>
      <c r="I477" s="33"/>
      <c r="J477" s="33">
        <f t="shared" si="89"/>
        <v>0</v>
      </c>
      <c r="K477" s="33">
        <f t="shared" si="90"/>
        <v>9798218.7105613146</v>
      </c>
      <c r="L477" s="33">
        <f t="shared" si="91"/>
        <v>0</v>
      </c>
      <c r="M477" s="33">
        <f t="shared" si="92"/>
        <v>0</v>
      </c>
      <c r="N477" s="33"/>
      <c r="O477" s="40"/>
      <c r="P477" s="155" t="s">
        <v>547</v>
      </c>
      <c r="S477" s="26"/>
    </row>
    <row r="478" spans="1:19" ht="15" x14ac:dyDescent="0.35">
      <c r="A478" t="s">
        <v>543</v>
      </c>
      <c r="B478" t="str">
        <f t="shared" si="88"/>
        <v>iBoxx MSCI GBP Corporates Paris Aligned Capped TCA Index114</v>
      </c>
      <c r="C478" t="s">
        <v>544</v>
      </c>
      <c r="D478" t="s">
        <v>545</v>
      </c>
      <c r="E478" t="s">
        <v>546</v>
      </c>
      <c r="F478">
        <v>114</v>
      </c>
      <c r="G478" t="s">
        <v>535</v>
      </c>
      <c r="H478" s="26">
        <v>48121</v>
      </c>
      <c r="I478" s="33"/>
      <c r="J478" s="33">
        <f t="shared" si="89"/>
        <v>0</v>
      </c>
      <c r="K478" s="33">
        <f t="shared" si="90"/>
        <v>9739142.2314560525</v>
      </c>
      <c r="L478" s="33">
        <f t="shared" si="91"/>
        <v>0</v>
      </c>
      <c r="M478" s="33">
        <f t="shared" si="92"/>
        <v>0</v>
      </c>
      <c r="N478" s="33"/>
      <c r="O478" s="40"/>
      <c r="P478" s="155" t="s">
        <v>547</v>
      </c>
    </row>
    <row r="479" spans="1:19" ht="15" x14ac:dyDescent="0.35">
      <c r="A479" t="s">
        <v>543</v>
      </c>
      <c r="B479" t="str">
        <f t="shared" si="88"/>
        <v>iBoxx MSCI GBP Corporates Paris Aligned Capped TCA Index115</v>
      </c>
      <c r="C479" t="s">
        <v>544</v>
      </c>
      <c r="D479" t="s">
        <v>545</v>
      </c>
      <c r="E479" t="s">
        <v>546</v>
      </c>
      <c r="F479">
        <v>115</v>
      </c>
      <c r="G479" t="s">
        <v>535</v>
      </c>
      <c r="H479" s="26">
        <v>48152</v>
      </c>
      <c r="I479" s="33"/>
      <c r="J479" s="33">
        <f t="shared" si="89"/>
        <v>0</v>
      </c>
      <c r="K479" s="33">
        <f t="shared" si="90"/>
        <v>9680421.9426427763</v>
      </c>
      <c r="L479" s="33">
        <f t="shared" si="91"/>
        <v>0</v>
      </c>
      <c r="M479" s="33">
        <f t="shared" si="92"/>
        <v>0</v>
      </c>
      <c r="N479" s="33"/>
      <c r="O479" s="40"/>
      <c r="P479" s="155" t="s">
        <v>547</v>
      </c>
    </row>
    <row r="480" spans="1:19" ht="15" x14ac:dyDescent="0.35">
      <c r="A480" t="s">
        <v>543</v>
      </c>
      <c r="B480" t="str">
        <f t="shared" si="88"/>
        <v>iBoxx MSCI GBP Corporates Paris Aligned Capped TCA Index116</v>
      </c>
      <c r="C480" t="s">
        <v>544</v>
      </c>
      <c r="D480" t="s">
        <v>545</v>
      </c>
      <c r="E480" t="s">
        <v>546</v>
      </c>
      <c r="F480">
        <v>116</v>
      </c>
      <c r="G480" t="s">
        <v>535</v>
      </c>
      <c r="H480" s="26">
        <v>48182</v>
      </c>
      <c r="I480" s="33"/>
      <c r="J480" s="33">
        <f t="shared" si="89"/>
        <v>0</v>
      </c>
      <c r="K480" s="33">
        <f t="shared" si="90"/>
        <v>9622055.6965404879</v>
      </c>
      <c r="L480" s="33">
        <f t="shared" si="91"/>
        <v>0</v>
      </c>
      <c r="M480" s="33">
        <f t="shared" si="92"/>
        <v>0</v>
      </c>
      <c r="N480" s="33"/>
      <c r="O480" s="40"/>
      <c r="P480" s="155" t="s">
        <v>547</v>
      </c>
    </row>
    <row r="481" spans="1:17" ht="15" x14ac:dyDescent="0.35">
      <c r="A481" t="s">
        <v>543</v>
      </c>
      <c r="B481" t="str">
        <f t="shared" si="88"/>
        <v>iBoxx MSCI GBP Corporates Paris Aligned Capped TCA Index117</v>
      </c>
      <c r="C481" t="s">
        <v>544</v>
      </c>
      <c r="D481" t="s">
        <v>545</v>
      </c>
      <c r="E481" t="s">
        <v>546</v>
      </c>
      <c r="F481">
        <v>117</v>
      </c>
      <c r="G481" t="s">
        <v>535</v>
      </c>
      <c r="H481" s="26">
        <v>48213</v>
      </c>
      <c r="I481" s="33"/>
      <c r="J481" s="33">
        <f t="shared" si="89"/>
        <v>0</v>
      </c>
      <c r="K481" s="33">
        <f t="shared" si="90"/>
        <v>9564041.3585166149</v>
      </c>
      <c r="L481" s="33">
        <f t="shared" si="91"/>
        <v>0</v>
      </c>
      <c r="M481" s="33">
        <f t="shared" si="92"/>
        <v>0</v>
      </c>
      <c r="N481" s="33"/>
      <c r="O481" s="40"/>
      <c r="P481" s="155" t="s">
        <v>547</v>
      </c>
    </row>
    <row r="482" spans="1:17" ht="15" x14ac:dyDescent="0.35">
      <c r="A482" t="s">
        <v>543</v>
      </c>
      <c r="B482" t="str">
        <f t="shared" si="88"/>
        <v>iBoxx MSCI GBP Corporates Paris Aligned Capped TCA Index118</v>
      </c>
      <c r="C482" t="s">
        <v>544</v>
      </c>
      <c r="D482" t="s">
        <v>545</v>
      </c>
      <c r="E482" t="s">
        <v>546</v>
      </c>
      <c r="F482">
        <v>118</v>
      </c>
      <c r="G482" t="s">
        <v>535</v>
      </c>
      <c r="H482" s="26">
        <v>48244</v>
      </c>
      <c r="I482" s="33"/>
      <c r="J482" s="33">
        <f t="shared" si="89"/>
        <v>0</v>
      </c>
      <c r="K482" s="33">
        <f t="shared" si="90"/>
        <v>9506376.8068089392</v>
      </c>
      <c r="L482" s="33">
        <f t="shared" si="91"/>
        <v>0</v>
      </c>
      <c r="M482" s="33">
        <f t="shared" si="92"/>
        <v>0</v>
      </c>
      <c r="N482" s="33"/>
      <c r="O482" s="40"/>
      <c r="P482" s="155" t="s">
        <v>547</v>
      </c>
    </row>
    <row r="483" spans="1:17" ht="15" x14ac:dyDescent="0.35">
      <c r="A483" t="s">
        <v>543</v>
      </c>
      <c r="B483" t="str">
        <f t="shared" si="88"/>
        <v>iBoxx MSCI GBP Corporates Paris Aligned Capped TCA Index119</v>
      </c>
      <c r="C483" t="s">
        <v>544</v>
      </c>
      <c r="D483" t="s">
        <v>545</v>
      </c>
      <c r="E483" t="s">
        <v>546</v>
      </c>
      <c r="F483">
        <v>119</v>
      </c>
      <c r="G483" t="s">
        <v>535</v>
      </c>
      <c r="H483" s="26">
        <v>48272</v>
      </c>
      <c r="I483" s="33"/>
      <c r="J483" s="33">
        <f t="shared" si="89"/>
        <v>0</v>
      </c>
      <c r="K483" s="33">
        <f t="shared" si="90"/>
        <v>9449059.9324480053</v>
      </c>
      <c r="L483" s="33">
        <f t="shared" si="91"/>
        <v>0</v>
      </c>
      <c r="M483" s="33">
        <f t="shared" si="92"/>
        <v>0</v>
      </c>
      <c r="N483" s="33"/>
      <c r="O483" s="40"/>
      <c r="P483" s="155" t="s">
        <v>547</v>
      </c>
    </row>
    <row r="484" spans="1:17" ht="15" x14ac:dyDescent="0.35">
      <c r="B484" t="str">
        <f t="shared" ref="B484:B547" si="93">_xlfn.CONCAT(C484,F484)</f>
        <v>iBoxx MSCI USD High Yield Paris Aligned Capped TCA Index (12/31/2020-11/30/2022 -- pre-trajectory rebase)0</v>
      </c>
      <c r="C484" t="s">
        <v>548</v>
      </c>
      <c r="D484" t="s">
        <v>537</v>
      </c>
      <c r="F484">
        <v>0</v>
      </c>
      <c r="G484" t="s">
        <v>535</v>
      </c>
      <c r="H484" s="26">
        <v>44196</v>
      </c>
      <c r="I484" s="129">
        <v>13382185.624191901</v>
      </c>
      <c r="J484" s="33">
        <f>IF(G484="PA",I484*0.5,IF(G484="CT",I484*0.7,""))</f>
        <v>6691092.8120959504</v>
      </c>
      <c r="K484" s="33">
        <f>VLOOKUP(C484,$C:$K,8,FALSE)*0.93^(F484/12)</f>
        <v>6691092.8120959504</v>
      </c>
      <c r="L484" s="33">
        <f t="shared" si="91"/>
        <v>6691092.8120959504</v>
      </c>
      <c r="M484" s="33">
        <f t="shared" si="92"/>
        <v>6523815.4917935515</v>
      </c>
      <c r="N484" s="33">
        <v>989345.85030000005</v>
      </c>
      <c r="O484" s="40">
        <v>0.402175691</v>
      </c>
      <c r="P484" s="155" t="s">
        <v>539</v>
      </c>
      <c r="Q484" t="s">
        <v>549</v>
      </c>
    </row>
    <row r="485" spans="1:17" ht="15" x14ac:dyDescent="0.35">
      <c r="B485" t="str">
        <f t="shared" si="93"/>
        <v>iBoxx MSCI USD High Yield Paris Aligned Capped TCA Index (12/31/2020-11/30/2022 -- pre-trajectory rebase)1</v>
      </c>
      <c r="C485" t="s">
        <v>548</v>
      </c>
      <c r="D485" t="s">
        <v>537</v>
      </c>
      <c r="F485">
        <v>1</v>
      </c>
      <c r="G485" t="s">
        <v>535</v>
      </c>
      <c r="H485" s="26">
        <v>44227</v>
      </c>
      <c r="I485" s="129">
        <v>11688179.220239939</v>
      </c>
      <c r="J485" s="33">
        <f t="shared" si="89"/>
        <v>5844089.6101199696</v>
      </c>
      <c r="K485" s="33">
        <f t="shared" si="90"/>
        <v>6650750.1522327764</v>
      </c>
      <c r="L485" s="33">
        <f t="shared" si="91"/>
        <v>5844089.6101199696</v>
      </c>
      <c r="M485" s="33">
        <f t="shared" si="92"/>
        <v>5697987.36986697</v>
      </c>
      <c r="N485" s="33">
        <v>958796.2598</v>
      </c>
      <c r="O485" s="40">
        <v>0.39463186900000002</v>
      </c>
      <c r="P485" s="155" t="s">
        <v>539</v>
      </c>
      <c r="Q485" t="s">
        <v>549</v>
      </c>
    </row>
    <row r="486" spans="1:17" ht="15" x14ac:dyDescent="0.35">
      <c r="B486" t="str">
        <f t="shared" si="93"/>
        <v>iBoxx MSCI USD High Yield Paris Aligned Capped TCA Index (12/31/2020-11/30/2022 -- pre-trajectory rebase)2</v>
      </c>
      <c r="C486" t="s">
        <v>548</v>
      </c>
      <c r="D486" t="s">
        <v>537</v>
      </c>
      <c r="F486">
        <v>2</v>
      </c>
      <c r="G486" t="s">
        <v>535</v>
      </c>
      <c r="H486" s="26">
        <v>44255</v>
      </c>
      <c r="I486" s="129">
        <v>11879382.117095949</v>
      </c>
      <c r="J486" s="33">
        <f t="shared" si="89"/>
        <v>5939691.0585479746</v>
      </c>
      <c r="K486" s="33">
        <f t="shared" si="90"/>
        <v>6610650.7306941245</v>
      </c>
      <c r="L486" s="33">
        <f t="shared" si="91"/>
        <v>5939691.0585479746</v>
      </c>
      <c r="M486" s="33">
        <f t="shared" si="92"/>
        <v>5791198.782084275</v>
      </c>
      <c r="N486" s="33">
        <v>953015.38179999997</v>
      </c>
      <c r="O486" s="40">
        <v>0.39464450299999998</v>
      </c>
      <c r="P486" s="155" t="s">
        <v>539</v>
      </c>
      <c r="Q486" t="s">
        <v>549</v>
      </c>
    </row>
    <row r="487" spans="1:17" ht="15" x14ac:dyDescent="0.35">
      <c r="B487" t="str">
        <f t="shared" si="93"/>
        <v>iBoxx MSCI USD High Yield Paris Aligned Capped TCA Index (12/31/2020-11/30/2022 -- pre-trajectory rebase)3</v>
      </c>
      <c r="C487" t="s">
        <v>548</v>
      </c>
      <c r="D487" t="s">
        <v>537</v>
      </c>
      <c r="F487">
        <v>3</v>
      </c>
      <c r="G487" t="s">
        <v>535</v>
      </c>
      <c r="H487" s="26">
        <v>44286</v>
      </c>
      <c r="I487" s="129">
        <v>9582688.9404134098</v>
      </c>
      <c r="J487" s="33">
        <f t="shared" si="89"/>
        <v>4791344.4702067049</v>
      </c>
      <c r="K487" s="33">
        <f t="shared" si="90"/>
        <v>6570793.0809212029</v>
      </c>
      <c r="L487" s="33">
        <f t="shared" si="91"/>
        <v>4791344.4702067049</v>
      </c>
      <c r="M487" s="33">
        <f t="shared" si="92"/>
        <v>4671560.8584515369</v>
      </c>
      <c r="N487" s="33">
        <v>947269.35849999997</v>
      </c>
      <c r="O487" s="40">
        <v>0.40215954999999998</v>
      </c>
      <c r="P487" s="155" t="s">
        <v>539</v>
      </c>
      <c r="Q487" t="s">
        <v>549</v>
      </c>
    </row>
    <row r="488" spans="1:17" ht="15" x14ac:dyDescent="0.35">
      <c r="B488" t="str">
        <f t="shared" si="93"/>
        <v>iBoxx MSCI USD High Yield Paris Aligned Capped TCA Index (12/31/2020-11/30/2022 -- pre-trajectory rebase)4</v>
      </c>
      <c r="C488" t="s">
        <v>548</v>
      </c>
      <c r="D488" t="s">
        <v>537</v>
      </c>
      <c r="F488">
        <v>4</v>
      </c>
      <c r="G488" t="s">
        <v>535</v>
      </c>
      <c r="H488" s="26">
        <v>44316</v>
      </c>
      <c r="I488" s="129">
        <v>9564411.9358007554</v>
      </c>
      <c r="J488" s="33">
        <f t="shared" si="89"/>
        <v>4782205.9679003777</v>
      </c>
      <c r="K488" s="33">
        <f t="shared" si="90"/>
        <v>6531175.7451975541</v>
      </c>
      <c r="L488" s="33">
        <f t="shared" si="91"/>
        <v>4782205.9679003777</v>
      </c>
      <c r="M488" s="33">
        <f t="shared" si="92"/>
        <v>4662650.8187028682</v>
      </c>
      <c r="N488" s="33">
        <v>941557.97970000003</v>
      </c>
      <c r="O488" s="40">
        <v>0.40852725200000001</v>
      </c>
      <c r="P488" s="155" t="s">
        <v>539</v>
      </c>
      <c r="Q488" t="s">
        <v>549</v>
      </c>
    </row>
    <row r="489" spans="1:17" ht="15" x14ac:dyDescent="0.35">
      <c r="B489" t="str">
        <f t="shared" si="93"/>
        <v>iBoxx MSCI USD High Yield Paris Aligned Capped TCA Index (12/31/2020-11/30/2022 -- pre-trajectory rebase)5</v>
      </c>
      <c r="C489" t="s">
        <v>548</v>
      </c>
      <c r="D489" t="s">
        <v>537</v>
      </c>
      <c r="F489">
        <v>5</v>
      </c>
      <c r="G489" t="s">
        <v>535</v>
      </c>
      <c r="H489" s="26">
        <v>44347</v>
      </c>
      <c r="I489" s="129">
        <v>9731261.6184416432</v>
      </c>
      <c r="J489" s="33">
        <f t="shared" si="89"/>
        <v>4865630.8092208216</v>
      </c>
      <c r="K489" s="33">
        <f t="shared" si="90"/>
        <v>6491797.2745957412</v>
      </c>
      <c r="L489" s="33">
        <f t="shared" si="91"/>
        <v>4865630.8092208216</v>
      </c>
      <c r="M489" s="33">
        <f t="shared" si="92"/>
        <v>4743990.0389903011</v>
      </c>
      <c r="N489" s="33">
        <v>935881.03659999999</v>
      </c>
      <c r="O489" s="40">
        <v>0.413389004</v>
      </c>
      <c r="P489" s="155" t="s">
        <v>539</v>
      </c>
      <c r="Q489" t="s">
        <v>549</v>
      </c>
    </row>
    <row r="490" spans="1:17" ht="15" x14ac:dyDescent="0.35">
      <c r="B490" t="str">
        <f t="shared" si="93"/>
        <v>iBoxx MSCI USD High Yield Paris Aligned Capped TCA Index (12/31/2020-11/30/2022 -- pre-trajectory rebase)6</v>
      </c>
      <c r="C490" t="s">
        <v>548</v>
      </c>
      <c r="D490" t="s">
        <v>537</v>
      </c>
      <c r="F490">
        <v>6</v>
      </c>
      <c r="G490" t="s">
        <v>535</v>
      </c>
      <c r="H490" s="26">
        <v>44377</v>
      </c>
      <c r="I490" s="129">
        <v>8502114.0533041675</v>
      </c>
      <c r="J490" s="33">
        <f t="shared" si="89"/>
        <v>4251057.0266520837</v>
      </c>
      <c r="K490" s="33">
        <f t="shared" si="90"/>
        <v>6452656.2289243611</v>
      </c>
      <c r="L490" s="33">
        <f t="shared" si="91"/>
        <v>4251057.0266520837</v>
      </c>
      <c r="M490" s="33">
        <f t="shared" si="92"/>
        <v>4144780.6009857818</v>
      </c>
      <c r="N490" s="33">
        <v>930238.32149999996</v>
      </c>
      <c r="O490" s="40">
        <v>0.41605356599999999</v>
      </c>
      <c r="P490" s="155" t="s">
        <v>539</v>
      </c>
      <c r="Q490" t="s">
        <v>549</v>
      </c>
    </row>
    <row r="491" spans="1:17" ht="15" x14ac:dyDescent="0.35">
      <c r="B491" t="str">
        <f t="shared" si="93"/>
        <v>iBoxx MSCI USD High Yield Paris Aligned Capped TCA Index (12/31/2020-11/30/2022 -- pre-trajectory rebase)7</v>
      </c>
      <c r="C491" t="s">
        <v>548</v>
      </c>
      <c r="D491" t="s">
        <v>537</v>
      </c>
      <c r="F491">
        <v>7</v>
      </c>
      <c r="G491" t="s">
        <v>535</v>
      </c>
      <c r="H491" s="26">
        <v>44408</v>
      </c>
      <c r="I491" s="129">
        <v>8483061.8070778567</v>
      </c>
      <c r="J491" s="33">
        <f t="shared" si="89"/>
        <v>4241530.9035389284</v>
      </c>
      <c r="K491" s="33">
        <f t="shared" si="90"/>
        <v>6413751.1766753625</v>
      </c>
      <c r="L491" s="33">
        <f t="shared" si="91"/>
        <v>4241530.9035389284</v>
      </c>
      <c r="M491" s="33">
        <f t="shared" si="92"/>
        <v>4135492.6309504551</v>
      </c>
      <c r="N491" s="33">
        <v>924629.62809999997</v>
      </c>
      <c r="O491" s="40">
        <v>0.41439973800000002</v>
      </c>
      <c r="P491" s="155" t="s">
        <v>539</v>
      </c>
      <c r="Q491" t="s">
        <v>549</v>
      </c>
    </row>
    <row r="492" spans="1:17" ht="15" x14ac:dyDescent="0.35">
      <c r="B492" t="str">
        <f t="shared" si="93"/>
        <v>iBoxx MSCI USD High Yield Paris Aligned Capped TCA Index (12/31/2020-11/30/2022 -- pre-trajectory rebase)8</v>
      </c>
      <c r="C492" t="s">
        <v>548</v>
      </c>
      <c r="D492" t="s">
        <v>537</v>
      </c>
      <c r="F492">
        <v>8</v>
      </c>
      <c r="G492" t="s">
        <v>535</v>
      </c>
      <c r="H492" s="26">
        <v>44439</v>
      </c>
      <c r="I492" s="129">
        <v>7933911.1860680915</v>
      </c>
      <c r="J492" s="33">
        <f t="shared" si="89"/>
        <v>3966955.5930340458</v>
      </c>
      <c r="K492" s="33">
        <f t="shared" si="90"/>
        <v>6375080.694971703</v>
      </c>
      <c r="L492" s="33">
        <f t="shared" si="91"/>
        <v>3966955.5930340458</v>
      </c>
      <c r="M492" s="33">
        <f t="shared" si="92"/>
        <v>3867781.7032081946</v>
      </c>
      <c r="N492" s="33">
        <v>919054.75120000006</v>
      </c>
      <c r="O492" s="40">
        <v>0.41430082499999998</v>
      </c>
      <c r="P492" s="155" t="s">
        <v>539</v>
      </c>
      <c r="Q492" t="s">
        <v>549</v>
      </c>
    </row>
    <row r="493" spans="1:17" ht="15" x14ac:dyDescent="0.35">
      <c r="B493" t="str">
        <f t="shared" si="93"/>
        <v>iBoxx MSCI USD High Yield Paris Aligned Capped TCA Index (12/31/2020-11/30/2022 -- pre-trajectory rebase)9</v>
      </c>
      <c r="C493" t="s">
        <v>548</v>
      </c>
      <c r="D493" t="s">
        <v>537</v>
      </c>
      <c r="F493">
        <v>9</v>
      </c>
      <c r="G493" t="s">
        <v>535</v>
      </c>
      <c r="H493" s="26">
        <v>44469</v>
      </c>
      <c r="I493" s="129">
        <v>7844759.8134787576</v>
      </c>
      <c r="J493" s="33">
        <f t="shared" si="89"/>
        <v>3922379.9067393788</v>
      </c>
      <c r="K493" s="33">
        <f t="shared" si="90"/>
        <v>6336643.3695152998</v>
      </c>
      <c r="L493" s="33">
        <f t="shared" si="91"/>
        <v>3922379.9067393788</v>
      </c>
      <c r="M493" s="33">
        <f t="shared" si="92"/>
        <v>3824320.4090708941</v>
      </c>
      <c r="N493" s="33">
        <v>913513.48699999996</v>
      </c>
      <c r="O493" s="40">
        <v>0.41715876000000002</v>
      </c>
      <c r="P493" s="155" t="s">
        <v>539</v>
      </c>
      <c r="Q493" t="s">
        <v>549</v>
      </c>
    </row>
    <row r="494" spans="1:17" ht="15" x14ac:dyDescent="0.35">
      <c r="B494" t="str">
        <f t="shared" si="93"/>
        <v>iBoxx MSCI USD High Yield Paris Aligned Capped TCA Index (12/31/2020-11/30/2022 -- pre-trajectory rebase)10</v>
      </c>
      <c r="C494" t="s">
        <v>548</v>
      </c>
      <c r="D494" t="s">
        <v>537</v>
      </c>
      <c r="F494">
        <v>10</v>
      </c>
      <c r="G494" t="s">
        <v>535</v>
      </c>
      <c r="H494" s="26">
        <v>44500</v>
      </c>
      <c r="I494" s="129">
        <v>8000699.261380787</v>
      </c>
      <c r="J494" s="33">
        <f t="shared" si="89"/>
        <v>4000349.6306903935</v>
      </c>
      <c r="K494" s="33">
        <f t="shared" si="90"/>
        <v>6298437.7945353119</v>
      </c>
      <c r="L494" s="33">
        <f t="shared" si="91"/>
        <v>4000349.6306903935</v>
      </c>
      <c r="M494" s="33">
        <f t="shared" si="92"/>
        <v>3900340.8899231334</v>
      </c>
      <c r="N494" s="33">
        <v>908005.63280000002</v>
      </c>
      <c r="O494" s="40">
        <v>0.423007507</v>
      </c>
      <c r="P494" s="155" t="s">
        <v>539</v>
      </c>
      <c r="Q494" t="s">
        <v>549</v>
      </c>
    </row>
    <row r="495" spans="1:17" ht="15" x14ac:dyDescent="0.35">
      <c r="B495" t="str">
        <f t="shared" si="93"/>
        <v>iBoxx MSCI USD High Yield Paris Aligned Capped TCA Index (12/31/2020-11/30/2022 -- pre-trajectory rebase)11</v>
      </c>
      <c r="C495" t="s">
        <v>548</v>
      </c>
      <c r="D495" t="s">
        <v>537</v>
      </c>
      <c r="F495">
        <v>11</v>
      </c>
      <c r="G495" t="s">
        <v>535</v>
      </c>
      <c r="H495" s="26">
        <v>44530</v>
      </c>
      <c r="I495" s="129">
        <v>7953092.6010261318</v>
      </c>
      <c r="J495" s="33">
        <f t="shared" si="89"/>
        <v>3976546.3005130659</v>
      </c>
      <c r="K495" s="33">
        <f t="shared" si="90"/>
        <v>6260462.5727367215</v>
      </c>
      <c r="L495" s="33">
        <f t="shared" si="91"/>
        <v>3976546.3005130659</v>
      </c>
      <c r="M495" s="33">
        <f t="shared" si="92"/>
        <v>3877132.643000239</v>
      </c>
      <c r="N495" s="33">
        <v>902530.98710000003</v>
      </c>
      <c r="O495" s="40">
        <v>0.41708869999999998</v>
      </c>
      <c r="P495" s="155" t="s">
        <v>539</v>
      </c>
      <c r="Q495" t="s">
        <v>549</v>
      </c>
    </row>
    <row r="496" spans="1:17" ht="15" x14ac:dyDescent="0.35">
      <c r="B496" t="str">
        <f t="shared" si="93"/>
        <v>iBoxx MSCI USD High Yield Paris Aligned Capped TCA Index (12/31/2020-11/30/2022 -- pre-trajectory rebase)12</v>
      </c>
      <c r="C496" t="s">
        <v>548</v>
      </c>
      <c r="D496" t="s">
        <v>537</v>
      </c>
      <c r="F496">
        <v>12</v>
      </c>
      <c r="G496" t="s">
        <v>535</v>
      </c>
      <c r="H496" s="26">
        <v>44561</v>
      </c>
      <c r="I496" s="129">
        <v>5633427.8396846</v>
      </c>
      <c r="J496" s="33">
        <f t="shared" si="89"/>
        <v>2816713.9198423</v>
      </c>
      <c r="K496" s="33">
        <f t="shared" si="90"/>
        <v>6222716.3152492344</v>
      </c>
      <c r="L496" s="33">
        <f t="shared" si="91"/>
        <v>2816713.9198423</v>
      </c>
      <c r="M496" s="33">
        <f t="shared" si="92"/>
        <v>2746296.0718462425</v>
      </c>
      <c r="N496" s="33">
        <v>897089.34970000002</v>
      </c>
      <c r="O496" s="40">
        <v>0.412356958</v>
      </c>
      <c r="P496" s="155" t="s">
        <v>539</v>
      </c>
      <c r="Q496" t="s">
        <v>549</v>
      </c>
    </row>
    <row r="497" spans="2:17" ht="15" x14ac:dyDescent="0.35">
      <c r="B497" t="str">
        <f t="shared" si="93"/>
        <v>iBoxx MSCI USD High Yield Paris Aligned Capped TCA Index (12/31/2020-11/30/2022 -- pre-trajectory rebase)13</v>
      </c>
      <c r="C497" t="s">
        <v>548</v>
      </c>
      <c r="D497" t="s">
        <v>537</v>
      </c>
      <c r="F497">
        <v>13</v>
      </c>
      <c r="G497" t="s">
        <v>535</v>
      </c>
      <c r="H497" s="26">
        <v>44592</v>
      </c>
      <c r="I497" s="129">
        <v>5149038.7103051208</v>
      </c>
      <c r="J497" s="33">
        <f t="shared" si="89"/>
        <v>2574519.3551525604</v>
      </c>
      <c r="K497" s="33">
        <f t="shared" si="90"/>
        <v>6185197.641576482</v>
      </c>
      <c r="L497" s="33">
        <f t="shared" si="91"/>
        <v>2574519.3551525604</v>
      </c>
      <c r="M497" s="33">
        <f t="shared" si="92"/>
        <v>2510156.3712737462</v>
      </c>
      <c r="N497" s="33">
        <v>891680.52170000004</v>
      </c>
      <c r="O497" s="40">
        <v>0.41293495899999999</v>
      </c>
      <c r="P497" s="155" t="s">
        <v>539</v>
      </c>
      <c r="Q497" t="s">
        <v>549</v>
      </c>
    </row>
    <row r="498" spans="2:17" ht="15" x14ac:dyDescent="0.35">
      <c r="B498" t="str">
        <f t="shared" si="93"/>
        <v>iBoxx MSCI USD High Yield Paris Aligned Capped TCA Index (12/31/2020-11/30/2022 -- pre-trajectory rebase)14</v>
      </c>
      <c r="C498" t="s">
        <v>548</v>
      </c>
      <c r="D498" t="s">
        <v>537</v>
      </c>
      <c r="F498">
        <v>14</v>
      </c>
      <c r="G498" t="s">
        <v>535</v>
      </c>
      <c r="H498" s="26">
        <v>44620</v>
      </c>
      <c r="I498" s="129">
        <v>5116783.4456436466</v>
      </c>
      <c r="J498" s="33">
        <f t="shared" si="89"/>
        <v>2558391.7228218233</v>
      </c>
      <c r="K498" s="33">
        <f t="shared" si="90"/>
        <v>6147905.1795455357</v>
      </c>
      <c r="L498" s="33">
        <f t="shared" si="91"/>
        <v>2558391.7228218233</v>
      </c>
      <c r="M498" s="33">
        <f t="shared" si="92"/>
        <v>2494431.9297512779</v>
      </c>
      <c r="N498" s="33">
        <v>886304.3051</v>
      </c>
      <c r="O498" s="40">
        <v>0.40953015399999998</v>
      </c>
      <c r="P498" s="155" t="s">
        <v>539</v>
      </c>
      <c r="Q498" t="s">
        <v>549</v>
      </c>
    </row>
    <row r="499" spans="2:17" ht="15" x14ac:dyDescent="0.35">
      <c r="B499" t="str">
        <f t="shared" si="93"/>
        <v>iBoxx MSCI USD High Yield Paris Aligned Capped TCA Index (12/31/2020-11/30/2022 -- pre-trajectory rebase)15</v>
      </c>
      <c r="C499" t="s">
        <v>548</v>
      </c>
      <c r="D499" t="s">
        <v>537</v>
      </c>
      <c r="F499">
        <v>15</v>
      </c>
      <c r="G499" t="s">
        <v>535</v>
      </c>
      <c r="H499" s="26">
        <v>44651</v>
      </c>
      <c r="I499" s="129">
        <v>5871980.8895555399</v>
      </c>
      <c r="J499" s="33">
        <f t="shared" si="89"/>
        <v>2935990.44477777</v>
      </c>
      <c r="K499" s="33">
        <f t="shared" si="90"/>
        <v>6110837.5652567185</v>
      </c>
      <c r="L499" s="33">
        <f t="shared" si="91"/>
        <v>2935990.44477777</v>
      </c>
      <c r="M499" s="33">
        <f t="shared" si="92"/>
        <v>2862590.6836583256</v>
      </c>
      <c r="N499" s="33">
        <v>880960.50340000005</v>
      </c>
      <c r="O499" s="40">
        <v>0.41768097199999998</v>
      </c>
      <c r="P499" s="155" t="s">
        <v>539</v>
      </c>
      <c r="Q499" t="s">
        <v>549</v>
      </c>
    </row>
    <row r="500" spans="2:17" ht="15" x14ac:dyDescent="0.35">
      <c r="B500" t="str">
        <f t="shared" si="93"/>
        <v>iBoxx MSCI USD High Yield Paris Aligned Capped TCA Index (12/31/2020-11/30/2022 -- pre-trajectory rebase)16</v>
      </c>
      <c r="C500" t="s">
        <v>548</v>
      </c>
      <c r="D500" t="s">
        <v>537</v>
      </c>
      <c r="F500">
        <v>16</v>
      </c>
      <c r="G500" t="s">
        <v>535</v>
      </c>
      <c r="H500" s="26">
        <v>44681</v>
      </c>
      <c r="I500" s="129">
        <v>5892583.5872249501</v>
      </c>
      <c r="J500" s="33">
        <f t="shared" si="89"/>
        <v>2946291.793612475</v>
      </c>
      <c r="K500" s="33">
        <f t="shared" si="90"/>
        <v>6073993.443033725</v>
      </c>
      <c r="L500" s="33">
        <f t="shared" si="91"/>
        <v>2946291.793612475</v>
      </c>
      <c r="M500" s="33">
        <f t="shared" si="92"/>
        <v>2872634.4987721629</v>
      </c>
      <c r="N500" s="33">
        <v>871525.56270000001</v>
      </c>
      <c r="O500" s="40">
        <v>0.41952586800000002</v>
      </c>
      <c r="P500" s="155" t="s">
        <v>539</v>
      </c>
      <c r="Q500" t="s">
        <v>549</v>
      </c>
    </row>
    <row r="501" spans="2:17" ht="15" x14ac:dyDescent="0.35">
      <c r="B501" t="str">
        <f t="shared" si="93"/>
        <v>iBoxx MSCI USD High Yield Paris Aligned Capped TCA Index (12/31/2020-11/30/2022 -- pre-trajectory rebase)17</v>
      </c>
      <c r="C501" t="s">
        <v>548</v>
      </c>
      <c r="D501" t="s">
        <v>537</v>
      </c>
      <c r="F501">
        <v>17</v>
      </c>
      <c r="G501" t="s">
        <v>535</v>
      </c>
      <c r="H501" s="26">
        <v>44712</v>
      </c>
      <c r="I501" s="129">
        <v>5186866.4381524501</v>
      </c>
      <c r="J501" s="33">
        <f t="shared" si="89"/>
        <v>2593433.2190762251</v>
      </c>
      <c r="K501" s="33">
        <f t="shared" si="90"/>
        <v>6037371.4653740395</v>
      </c>
      <c r="L501" s="33">
        <f t="shared" si="91"/>
        <v>2593433.2190762251</v>
      </c>
      <c r="M501" s="33">
        <f t="shared" si="92"/>
        <v>2528597.3885993194</v>
      </c>
      <c r="N501" s="33">
        <v>865240.90330000001</v>
      </c>
      <c r="O501" s="40">
        <v>0.40945061999999999</v>
      </c>
      <c r="P501" s="155" t="s">
        <v>539</v>
      </c>
      <c r="Q501" t="s">
        <v>549</v>
      </c>
    </row>
    <row r="502" spans="2:17" ht="15" x14ac:dyDescent="0.35">
      <c r="B502" t="str">
        <f t="shared" si="93"/>
        <v>iBoxx MSCI USD High Yield Paris Aligned Capped TCA Index (12/31/2020-11/30/2022 -- pre-trajectory rebase)18</v>
      </c>
      <c r="C502" t="s">
        <v>548</v>
      </c>
      <c r="D502" t="s">
        <v>537</v>
      </c>
      <c r="F502">
        <v>18</v>
      </c>
      <c r="G502" t="s">
        <v>535</v>
      </c>
      <c r="H502" s="26">
        <v>44742</v>
      </c>
      <c r="I502" s="129">
        <v>5488297.3661586596</v>
      </c>
      <c r="J502" s="33">
        <f t="shared" si="89"/>
        <v>2744148.6830793298</v>
      </c>
      <c r="K502" s="33">
        <f t="shared" si="90"/>
        <v>6000970.2928996552</v>
      </c>
      <c r="L502" s="33">
        <f t="shared" si="91"/>
        <v>2744148.6830793298</v>
      </c>
      <c r="M502" s="33">
        <f t="shared" si="92"/>
        <v>2675544.9660023465</v>
      </c>
      <c r="N502" s="33">
        <v>818383.59660000005</v>
      </c>
      <c r="O502" s="40">
        <v>0.415648778</v>
      </c>
      <c r="P502" s="155" t="s">
        <v>539</v>
      </c>
      <c r="Q502" t="s">
        <v>549</v>
      </c>
    </row>
    <row r="503" spans="2:17" ht="15" x14ac:dyDescent="0.35">
      <c r="B503" t="str">
        <f t="shared" si="93"/>
        <v>iBoxx MSCI USD High Yield Paris Aligned Capped TCA Index (12/31/2020-11/30/2022 -- pre-trajectory rebase)19</v>
      </c>
      <c r="C503" t="s">
        <v>548</v>
      </c>
      <c r="D503" t="s">
        <v>537</v>
      </c>
      <c r="F503">
        <v>19</v>
      </c>
      <c r="G503" t="s">
        <v>535</v>
      </c>
      <c r="H503" s="26">
        <v>44773</v>
      </c>
      <c r="I503" s="129">
        <v>5363079.2811817396</v>
      </c>
      <c r="J503" s="33">
        <f t="shared" si="89"/>
        <v>2681539.6405908698</v>
      </c>
      <c r="K503" s="33">
        <f t="shared" si="90"/>
        <v>5964788.5943080876</v>
      </c>
      <c r="L503" s="33">
        <f t="shared" si="91"/>
        <v>2681539.6405908698</v>
      </c>
      <c r="M503" s="33">
        <f t="shared" si="92"/>
        <v>2614501.1495760982</v>
      </c>
      <c r="N503" s="33">
        <v>803187.62320000003</v>
      </c>
      <c r="O503" s="40">
        <v>0.414494266</v>
      </c>
      <c r="P503" s="155" t="s">
        <v>539</v>
      </c>
      <c r="Q503" t="s">
        <v>549</v>
      </c>
    </row>
    <row r="504" spans="2:17" ht="15" x14ac:dyDescent="0.35">
      <c r="B504" t="str">
        <f t="shared" si="93"/>
        <v>iBoxx MSCI USD High Yield Paris Aligned Capped TCA Index (12/31/2020-11/30/2022 -- pre-trajectory rebase)20</v>
      </c>
      <c r="C504" t="s">
        <v>548</v>
      </c>
      <c r="D504" t="s">
        <v>537</v>
      </c>
      <c r="F504">
        <v>20</v>
      </c>
      <c r="G504" t="s">
        <v>535</v>
      </c>
      <c r="H504" s="26">
        <v>44804</v>
      </c>
      <c r="I504" s="129">
        <v>5443157.8448686004</v>
      </c>
      <c r="J504" s="33">
        <f t="shared" si="89"/>
        <v>2721578.9224343002</v>
      </c>
      <c r="K504" s="33">
        <f t="shared" si="90"/>
        <v>5928825.046323684</v>
      </c>
      <c r="L504" s="33">
        <f t="shared" si="91"/>
        <v>2721578.9224343002</v>
      </c>
      <c r="M504" s="33">
        <f t="shared" si="92"/>
        <v>2653539.4493734427</v>
      </c>
      <c r="N504" s="33">
        <v>854720.91859999998</v>
      </c>
      <c r="O504" s="40">
        <v>0.417266256</v>
      </c>
      <c r="P504" s="155" t="s">
        <v>539</v>
      </c>
      <c r="Q504" t="s">
        <v>549</v>
      </c>
    </row>
    <row r="505" spans="2:17" ht="15" x14ac:dyDescent="0.35">
      <c r="B505" t="str">
        <f t="shared" si="93"/>
        <v>iBoxx MSCI USD High Yield Paris Aligned Capped TCA Index (12/31/2020-11/30/2022 -- pre-trajectory rebase)21</v>
      </c>
      <c r="C505" t="s">
        <v>548</v>
      </c>
      <c r="D505" t="s">
        <v>537</v>
      </c>
      <c r="F505">
        <v>21</v>
      </c>
      <c r="G505" t="s">
        <v>535</v>
      </c>
      <c r="H505" s="26">
        <v>44834</v>
      </c>
      <c r="I505" s="129">
        <v>5459447.3681401601</v>
      </c>
      <c r="J505" s="33">
        <f t="shared" si="89"/>
        <v>2729723.6840700801</v>
      </c>
      <c r="K505" s="33">
        <f t="shared" si="90"/>
        <v>5893078.3336492293</v>
      </c>
      <c r="L505" s="33">
        <f t="shared" si="91"/>
        <v>2729723.6840700801</v>
      </c>
      <c r="M505" s="33">
        <f t="shared" si="92"/>
        <v>2661480.5919683278</v>
      </c>
      <c r="N505" s="33">
        <v>849567.5429</v>
      </c>
      <c r="O505" s="40">
        <v>0.42523473000000001</v>
      </c>
      <c r="P505" s="155" t="s">
        <v>539</v>
      </c>
      <c r="Q505" t="s">
        <v>549</v>
      </c>
    </row>
    <row r="506" spans="2:17" ht="15" x14ac:dyDescent="0.35">
      <c r="B506" t="str">
        <f t="shared" si="93"/>
        <v>iBoxx MSCI USD High Yield Paris Aligned Capped TCA Index (12/31/2020-11/30/2022 -- pre-trajectory rebase)22</v>
      </c>
      <c r="C506" t="s">
        <v>548</v>
      </c>
      <c r="D506" t="s">
        <v>537</v>
      </c>
      <c r="F506">
        <v>22</v>
      </c>
      <c r="G506" t="s">
        <v>535</v>
      </c>
      <c r="H506" s="26">
        <v>44865</v>
      </c>
      <c r="I506" s="129">
        <v>5799555.7894242303</v>
      </c>
      <c r="J506" s="33">
        <f t="shared" si="89"/>
        <v>2899777.8947121152</v>
      </c>
      <c r="K506" s="33">
        <f t="shared" si="90"/>
        <v>5857547.1489178408</v>
      </c>
      <c r="L506" s="33">
        <f t="shared" si="91"/>
        <v>2899777.8947121152</v>
      </c>
      <c r="M506" s="33">
        <f t="shared" si="92"/>
        <v>2827283.4473443124</v>
      </c>
      <c r="N506" s="33">
        <v>844445.23849999998</v>
      </c>
      <c r="O506" s="40">
        <v>0.42993216299999998</v>
      </c>
      <c r="P506" s="155" t="s">
        <v>539</v>
      </c>
      <c r="Q506" t="s">
        <v>549</v>
      </c>
    </row>
    <row r="507" spans="2:17" ht="15" x14ac:dyDescent="0.35">
      <c r="B507" t="str">
        <f t="shared" si="93"/>
        <v>iBoxx MSCI USD High Yield Paris Aligned Capped TCA Index (12/31/2020-11/30/2022 -- pre-trajectory rebase)23</v>
      </c>
      <c r="C507" t="s">
        <v>548</v>
      </c>
      <c r="D507" t="s">
        <v>537</v>
      </c>
      <c r="F507">
        <v>23</v>
      </c>
      <c r="G507" t="s">
        <v>535</v>
      </c>
      <c r="H507" s="26">
        <v>44895</v>
      </c>
      <c r="I507" s="129">
        <v>6973744.6430653697</v>
      </c>
      <c r="J507" s="33">
        <f t="shared" si="89"/>
        <v>3486872.3215326848</v>
      </c>
      <c r="K507" s="33">
        <f t="shared" si="90"/>
        <v>5822230.1926451512</v>
      </c>
      <c r="L507" s="33">
        <f t="shared" si="91"/>
        <v>3486872.3215326848</v>
      </c>
      <c r="M507" s="33">
        <f t="shared" si="92"/>
        <v>3399700.5134943677</v>
      </c>
      <c r="N507" s="33">
        <v>839353.81799999997</v>
      </c>
      <c r="O507" s="40">
        <v>0.42839690899999999</v>
      </c>
      <c r="P507" s="155" t="s">
        <v>539</v>
      </c>
      <c r="Q507" t="s">
        <v>549</v>
      </c>
    </row>
    <row r="508" spans="2:17" ht="15" x14ac:dyDescent="0.35">
      <c r="B508" t="str">
        <f t="shared" si="93"/>
        <v>iBoxx MSCI USD High Yield Paris Aligned Capped TCA Index (12/31/2020-11/30/2022 -- pre-trajectory rebase)24</v>
      </c>
      <c r="C508" t="s">
        <v>548</v>
      </c>
      <c r="D508" t="s">
        <v>537</v>
      </c>
      <c r="F508">
        <v>24</v>
      </c>
      <c r="G508" t="s">
        <v>535</v>
      </c>
      <c r="H508" s="26">
        <v>44926</v>
      </c>
      <c r="I508" s="130"/>
      <c r="J508" s="131"/>
      <c r="K508" s="131"/>
      <c r="L508" s="131"/>
      <c r="M508" s="131"/>
      <c r="N508" s="131"/>
      <c r="O508" s="132"/>
      <c r="P508" s="155" t="s">
        <v>539</v>
      </c>
      <c r="Q508" s="25" t="s">
        <v>550</v>
      </c>
    </row>
    <row r="509" spans="2:17" ht="15" x14ac:dyDescent="0.35">
      <c r="B509" t="str">
        <f t="shared" si="93"/>
        <v>iBoxx MSCI USD High Yield Paris Aligned Capped TCA Index (12/31/2020-11/30/2022 -- pre-trajectory rebase)25</v>
      </c>
      <c r="C509" t="s">
        <v>548</v>
      </c>
      <c r="D509" t="s">
        <v>537</v>
      </c>
      <c r="F509">
        <v>25</v>
      </c>
      <c r="G509" t="s">
        <v>535</v>
      </c>
      <c r="H509" s="26">
        <v>44957</v>
      </c>
      <c r="I509" s="131"/>
      <c r="J509" s="131"/>
      <c r="K509" s="131"/>
      <c r="L509" s="131"/>
      <c r="M509" s="131"/>
      <c r="N509" s="131"/>
      <c r="O509" s="132"/>
      <c r="P509" s="155" t="s">
        <v>539</v>
      </c>
    </row>
    <row r="510" spans="2:17" ht="15" x14ac:dyDescent="0.35">
      <c r="B510" t="str">
        <f t="shared" si="93"/>
        <v>iBoxx MSCI USD High Yield Paris Aligned Capped TCA Index (12/31/2020-11/30/2022 -- pre-trajectory rebase)26</v>
      </c>
      <c r="C510" t="s">
        <v>548</v>
      </c>
      <c r="D510" t="s">
        <v>537</v>
      </c>
      <c r="F510">
        <v>26</v>
      </c>
      <c r="G510" t="s">
        <v>535</v>
      </c>
      <c r="H510" s="26">
        <v>44985</v>
      </c>
      <c r="I510" s="131"/>
      <c r="J510" s="131"/>
      <c r="K510" s="131"/>
      <c r="L510" s="131"/>
      <c r="M510" s="131"/>
      <c r="N510" s="131"/>
      <c r="O510" s="132"/>
      <c r="P510" s="155" t="s">
        <v>539</v>
      </c>
    </row>
    <row r="511" spans="2:17" ht="15" x14ac:dyDescent="0.35">
      <c r="B511" t="str">
        <f t="shared" si="93"/>
        <v>iBoxx MSCI USD High Yield Paris Aligned Capped TCA Index (12/31/2020-11/30/2022 -- pre-trajectory rebase)27</v>
      </c>
      <c r="C511" t="s">
        <v>548</v>
      </c>
      <c r="D511" t="s">
        <v>537</v>
      </c>
      <c r="F511">
        <v>27</v>
      </c>
      <c r="G511" t="s">
        <v>535</v>
      </c>
      <c r="H511" s="26">
        <v>45016</v>
      </c>
      <c r="I511" s="131"/>
      <c r="J511" s="131"/>
      <c r="K511" s="131"/>
      <c r="L511" s="131"/>
      <c r="M511" s="131"/>
      <c r="N511" s="131"/>
      <c r="O511" s="132"/>
      <c r="P511" s="155" t="s">
        <v>539</v>
      </c>
    </row>
    <row r="512" spans="2:17" ht="15" x14ac:dyDescent="0.35">
      <c r="B512" t="str">
        <f t="shared" si="93"/>
        <v>iBoxx MSCI USD High Yield Paris Aligned Capped TCA Index (12/31/2020-11/30/2022 -- pre-trajectory rebase)28</v>
      </c>
      <c r="C512" t="s">
        <v>548</v>
      </c>
      <c r="D512" t="s">
        <v>537</v>
      </c>
      <c r="F512">
        <v>28</v>
      </c>
      <c r="G512" t="s">
        <v>535</v>
      </c>
      <c r="H512" s="26">
        <v>45046</v>
      </c>
      <c r="I512" s="131"/>
      <c r="J512" s="131"/>
      <c r="K512" s="131"/>
      <c r="L512" s="131"/>
      <c r="M512" s="131"/>
      <c r="N512" s="131"/>
      <c r="O512" s="132"/>
      <c r="P512" s="155" t="s">
        <v>539</v>
      </c>
    </row>
    <row r="513" spans="2:16" ht="15" x14ac:dyDescent="0.35">
      <c r="B513" t="str">
        <f t="shared" si="93"/>
        <v>iBoxx MSCI USD High Yield Paris Aligned Capped TCA Index (12/31/2020-11/30/2022 -- pre-trajectory rebase)29</v>
      </c>
      <c r="C513" t="s">
        <v>548</v>
      </c>
      <c r="D513" t="s">
        <v>537</v>
      </c>
      <c r="F513">
        <v>29</v>
      </c>
      <c r="G513" t="s">
        <v>535</v>
      </c>
      <c r="H513" s="26">
        <v>45077</v>
      </c>
      <c r="I513" s="131"/>
      <c r="J513" s="131"/>
      <c r="K513" s="131"/>
      <c r="L513" s="131"/>
      <c r="M513" s="131"/>
      <c r="N513" s="131"/>
      <c r="O513" s="132"/>
      <c r="P513" s="155" t="s">
        <v>539</v>
      </c>
    </row>
    <row r="514" spans="2:16" ht="15" x14ac:dyDescent="0.35">
      <c r="B514" t="str">
        <f t="shared" si="93"/>
        <v>iBoxx MSCI USD High Yield Paris Aligned Capped TCA Index (12/31/2020-11/30/2022 -- pre-trajectory rebase)30</v>
      </c>
      <c r="C514" t="s">
        <v>548</v>
      </c>
      <c r="D514" t="s">
        <v>537</v>
      </c>
      <c r="F514">
        <v>30</v>
      </c>
      <c r="G514" t="s">
        <v>535</v>
      </c>
      <c r="H514" s="26">
        <v>45107</v>
      </c>
      <c r="I514" s="131"/>
      <c r="J514" s="131"/>
      <c r="K514" s="131"/>
      <c r="L514" s="131"/>
      <c r="M514" s="131"/>
      <c r="N514" s="131"/>
      <c r="O514" s="132"/>
      <c r="P514" s="155" t="s">
        <v>539</v>
      </c>
    </row>
    <row r="515" spans="2:16" ht="15" x14ac:dyDescent="0.35">
      <c r="B515" t="str">
        <f t="shared" si="93"/>
        <v>iBoxx MSCI USD High Yield Paris Aligned Capped TCA Index (12/31/2020-11/30/2022 -- pre-trajectory rebase)31</v>
      </c>
      <c r="C515" t="s">
        <v>548</v>
      </c>
      <c r="D515" t="s">
        <v>537</v>
      </c>
      <c r="F515">
        <v>31</v>
      </c>
      <c r="G515" t="s">
        <v>535</v>
      </c>
      <c r="H515" s="26">
        <v>45138</v>
      </c>
      <c r="I515" s="131"/>
      <c r="J515" s="131"/>
      <c r="K515" s="131"/>
      <c r="L515" s="131"/>
      <c r="M515" s="131"/>
      <c r="N515" s="131"/>
      <c r="O515" s="132"/>
      <c r="P515" s="155" t="s">
        <v>539</v>
      </c>
    </row>
    <row r="516" spans="2:16" ht="15" x14ac:dyDescent="0.35">
      <c r="B516" t="str">
        <f t="shared" si="93"/>
        <v>iBoxx MSCI USD High Yield Paris Aligned Capped TCA Index (12/31/2020-11/30/2022 -- pre-trajectory rebase)32</v>
      </c>
      <c r="C516" t="s">
        <v>548</v>
      </c>
      <c r="D516" t="s">
        <v>537</v>
      </c>
      <c r="F516">
        <v>32</v>
      </c>
      <c r="G516" t="s">
        <v>535</v>
      </c>
      <c r="H516" s="26">
        <v>45169</v>
      </c>
      <c r="I516" s="131"/>
      <c r="J516" s="131"/>
      <c r="K516" s="131"/>
      <c r="L516" s="131"/>
      <c r="M516" s="131"/>
      <c r="N516" s="131"/>
      <c r="O516" s="132"/>
      <c r="P516" s="155" t="s">
        <v>539</v>
      </c>
    </row>
    <row r="517" spans="2:16" ht="15" x14ac:dyDescent="0.35">
      <c r="B517" t="str">
        <f t="shared" si="93"/>
        <v>iBoxx MSCI USD High Yield Paris Aligned Capped TCA Index (12/31/2020-11/30/2022 -- pre-trajectory rebase)33</v>
      </c>
      <c r="C517" t="s">
        <v>548</v>
      </c>
      <c r="D517" t="s">
        <v>537</v>
      </c>
      <c r="F517">
        <v>33</v>
      </c>
      <c r="G517" t="s">
        <v>535</v>
      </c>
      <c r="H517" s="26">
        <v>45199</v>
      </c>
      <c r="I517" s="131"/>
      <c r="J517" s="131"/>
      <c r="K517" s="131"/>
      <c r="L517" s="131"/>
      <c r="M517" s="131"/>
      <c r="N517" s="131"/>
      <c r="O517" s="132"/>
      <c r="P517" s="155" t="s">
        <v>539</v>
      </c>
    </row>
    <row r="518" spans="2:16" ht="15" x14ac:dyDescent="0.35">
      <c r="B518" t="str">
        <f t="shared" si="93"/>
        <v>iBoxx MSCI USD High Yield Paris Aligned Capped TCA Index (12/31/2020-11/30/2022 -- pre-trajectory rebase)34</v>
      </c>
      <c r="C518" t="s">
        <v>548</v>
      </c>
      <c r="D518" t="s">
        <v>537</v>
      </c>
      <c r="F518">
        <v>34</v>
      </c>
      <c r="G518" t="s">
        <v>535</v>
      </c>
      <c r="H518" s="26">
        <v>45230</v>
      </c>
      <c r="I518" s="131"/>
      <c r="J518" s="131"/>
      <c r="K518" s="131"/>
      <c r="L518" s="131"/>
      <c r="M518" s="131"/>
      <c r="N518" s="131"/>
      <c r="O518" s="132"/>
      <c r="P518" s="155" t="s">
        <v>539</v>
      </c>
    </row>
    <row r="519" spans="2:16" ht="15" x14ac:dyDescent="0.35">
      <c r="B519" t="str">
        <f t="shared" si="93"/>
        <v>iBoxx MSCI USD High Yield Paris Aligned Capped TCA Index (12/31/2020-11/30/2022 -- pre-trajectory rebase)35</v>
      </c>
      <c r="C519" t="s">
        <v>548</v>
      </c>
      <c r="D519" t="s">
        <v>537</v>
      </c>
      <c r="F519">
        <v>35</v>
      </c>
      <c r="G519" t="s">
        <v>535</v>
      </c>
      <c r="H519" s="26">
        <v>45260</v>
      </c>
      <c r="I519" s="131"/>
      <c r="J519" s="131"/>
      <c r="K519" s="131"/>
      <c r="L519" s="131"/>
      <c r="M519" s="131"/>
      <c r="N519" s="131"/>
      <c r="O519" s="132"/>
      <c r="P519" s="155" t="s">
        <v>539</v>
      </c>
    </row>
    <row r="520" spans="2:16" ht="15" x14ac:dyDescent="0.35">
      <c r="B520" t="str">
        <f t="shared" si="93"/>
        <v>iBoxx MSCI USD High Yield Paris Aligned Capped TCA Index (12/31/2020-11/30/2022 -- pre-trajectory rebase)36</v>
      </c>
      <c r="C520" t="s">
        <v>548</v>
      </c>
      <c r="D520" t="s">
        <v>537</v>
      </c>
      <c r="F520">
        <v>36</v>
      </c>
      <c r="G520" t="s">
        <v>535</v>
      </c>
      <c r="H520" s="26">
        <v>45291</v>
      </c>
      <c r="I520" s="131"/>
      <c r="J520" s="131"/>
      <c r="K520" s="131"/>
      <c r="L520" s="131"/>
      <c r="M520" s="131"/>
      <c r="N520" s="131"/>
      <c r="O520" s="132"/>
      <c r="P520" s="155" t="s">
        <v>539</v>
      </c>
    </row>
    <row r="521" spans="2:16" ht="15" x14ac:dyDescent="0.35">
      <c r="B521" t="str">
        <f t="shared" si="93"/>
        <v>iBoxx MSCI USD High Yield Paris Aligned Capped TCA Index (12/31/2020-11/30/2022 -- pre-trajectory rebase)37</v>
      </c>
      <c r="C521" t="s">
        <v>548</v>
      </c>
      <c r="D521" t="s">
        <v>537</v>
      </c>
      <c r="F521">
        <v>37</v>
      </c>
      <c r="G521" t="s">
        <v>535</v>
      </c>
      <c r="H521" s="26">
        <v>45322</v>
      </c>
      <c r="I521" s="131"/>
      <c r="J521" s="131"/>
      <c r="K521" s="131"/>
      <c r="L521" s="131"/>
      <c r="M521" s="131"/>
      <c r="N521" s="131"/>
      <c r="O521" s="132"/>
      <c r="P521" s="155" t="s">
        <v>539</v>
      </c>
    </row>
    <row r="522" spans="2:16" ht="15" x14ac:dyDescent="0.35">
      <c r="B522" t="str">
        <f t="shared" si="93"/>
        <v>iBoxx MSCI USD High Yield Paris Aligned Capped TCA Index (12/31/2020-11/30/2022 -- pre-trajectory rebase)38</v>
      </c>
      <c r="C522" t="s">
        <v>548</v>
      </c>
      <c r="D522" t="s">
        <v>537</v>
      </c>
      <c r="F522">
        <v>38</v>
      </c>
      <c r="G522" t="s">
        <v>535</v>
      </c>
      <c r="H522" s="26">
        <v>45350</v>
      </c>
      <c r="I522" s="131"/>
      <c r="J522" s="131"/>
      <c r="K522" s="131"/>
      <c r="L522" s="131"/>
      <c r="M522" s="131"/>
      <c r="N522" s="131"/>
      <c r="O522" s="132"/>
      <c r="P522" s="155" t="s">
        <v>539</v>
      </c>
    </row>
    <row r="523" spans="2:16" ht="15" x14ac:dyDescent="0.35">
      <c r="B523" t="str">
        <f t="shared" si="93"/>
        <v>iBoxx MSCI USD High Yield Paris Aligned Capped TCA Index (12/31/2020-11/30/2022 -- pre-trajectory rebase)39</v>
      </c>
      <c r="C523" t="s">
        <v>548</v>
      </c>
      <c r="D523" t="s">
        <v>537</v>
      </c>
      <c r="F523">
        <v>39</v>
      </c>
      <c r="G523" t="s">
        <v>535</v>
      </c>
      <c r="H523" s="26">
        <v>45382</v>
      </c>
      <c r="I523" s="131"/>
      <c r="J523" s="131"/>
      <c r="K523" s="131"/>
      <c r="L523" s="131"/>
      <c r="M523" s="131"/>
      <c r="N523" s="131"/>
      <c r="O523" s="132"/>
      <c r="P523" s="155" t="s">
        <v>539</v>
      </c>
    </row>
    <row r="524" spans="2:16" ht="15" x14ac:dyDescent="0.35">
      <c r="B524" t="str">
        <f t="shared" si="93"/>
        <v>iBoxx MSCI USD High Yield Paris Aligned Capped TCA Index (12/31/2020-11/30/2022 -- pre-trajectory rebase)40</v>
      </c>
      <c r="C524" t="s">
        <v>548</v>
      </c>
      <c r="D524" t="s">
        <v>537</v>
      </c>
      <c r="F524">
        <v>40</v>
      </c>
      <c r="G524" t="s">
        <v>535</v>
      </c>
      <c r="H524" s="26">
        <v>45412</v>
      </c>
      <c r="I524" s="131"/>
      <c r="J524" s="131"/>
      <c r="K524" s="131"/>
      <c r="L524" s="131"/>
      <c r="M524" s="131"/>
      <c r="N524" s="131"/>
      <c r="O524" s="132"/>
      <c r="P524" s="155" t="s">
        <v>539</v>
      </c>
    </row>
    <row r="525" spans="2:16" ht="15" x14ac:dyDescent="0.35">
      <c r="B525" t="str">
        <f t="shared" si="93"/>
        <v>iBoxx MSCI USD High Yield Paris Aligned Capped TCA Index (12/31/2020-11/30/2022 -- pre-trajectory rebase)41</v>
      </c>
      <c r="C525" t="s">
        <v>548</v>
      </c>
      <c r="D525" t="s">
        <v>537</v>
      </c>
      <c r="F525">
        <v>41</v>
      </c>
      <c r="G525" t="s">
        <v>535</v>
      </c>
      <c r="H525" s="26">
        <v>45443</v>
      </c>
      <c r="I525" s="131"/>
      <c r="J525" s="131"/>
      <c r="K525" s="131"/>
      <c r="L525" s="131"/>
      <c r="M525" s="131"/>
      <c r="N525" s="131"/>
      <c r="O525" s="132"/>
      <c r="P525" s="155" t="s">
        <v>539</v>
      </c>
    </row>
    <row r="526" spans="2:16" ht="15" x14ac:dyDescent="0.35">
      <c r="B526" t="str">
        <f t="shared" si="93"/>
        <v>iBoxx MSCI USD High Yield Paris Aligned Capped TCA Index (12/31/2020-11/30/2022 -- pre-trajectory rebase)42</v>
      </c>
      <c r="C526" t="s">
        <v>548</v>
      </c>
      <c r="D526" t="s">
        <v>537</v>
      </c>
      <c r="F526">
        <v>42</v>
      </c>
      <c r="G526" t="s">
        <v>535</v>
      </c>
      <c r="H526" s="26">
        <v>45473</v>
      </c>
      <c r="I526" s="131"/>
      <c r="J526" s="131"/>
      <c r="K526" s="131"/>
      <c r="L526" s="131"/>
      <c r="M526" s="131"/>
      <c r="N526" s="131"/>
      <c r="O526" s="132"/>
      <c r="P526" s="155" t="s">
        <v>539</v>
      </c>
    </row>
    <row r="527" spans="2:16" ht="15" x14ac:dyDescent="0.35">
      <c r="B527" t="str">
        <f t="shared" si="93"/>
        <v>iBoxx MSCI USD High Yield Paris Aligned Capped TCA Index (12/31/2020-11/30/2022 -- pre-trajectory rebase)43</v>
      </c>
      <c r="C527" t="s">
        <v>548</v>
      </c>
      <c r="D527" t="s">
        <v>537</v>
      </c>
      <c r="F527">
        <v>43</v>
      </c>
      <c r="G527" t="s">
        <v>535</v>
      </c>
      <c r="H527" s="26">
        <v>45504</v>
      </c>
      <c r="I527" s="131"/>
      <c r="J527" s="131"/>
      <c r="K527" s="131"/>
      <c r="L527" s="131"/>
      <c r="M527" s="131"/>
      <c r="N527" s="131"/>
      <c r="O527" s="132"/>
      <c r="P527" s="155" t="s">
        <v>539</v>
      </c>
    </row>
    <row r="528" spans="2:16" ht="15" x14ac:dyDescent="0.35">
      <c r="B528" t="str">
        <f t="shared" si="93"/>
        <v>iBoxx MSCI USD High Yield Paris Aligned Capped TCA Index (12/31/2020-11/30/2022 -- pre-trajectory rebase)44</v>
      </c>
      <c r="C528" t="s">
        <v>548</v>
      </c>
      <c r="D528" t="s">
        <v>537</v>
      </c>
      <c r="F528">
        <v>44</v>
      </c>
      <c r="G528" t="s">
        <v>535</v>
      </c>
      <c r="H528" s="26">
        <v>45535</v>
      </c>
      <c r="I528" s="131"/>
      <c r="J528" s="131"/>
      <c r="K528" s="131"/>
      <c r="L528" s="131"/>
      <c r="M528" s="131"/>
      <c r="N528" s="131"/>
      <c r="O528" s="132"/>
      <c r="P528" s="155" t="s">
        <v>539</v>
      </c>
    </row>
    <row r="529" spans="2:16" ht="15" x14ac:dyDescent="0.35">
      <c r="B529" t="str">
        <f t="shared" si="93"/>
        <v>iBoxx MSCI USD High Yield Paris Aligned Capped TCA Index (12/31/2020-11/30/2022 -- pre-trajectory rebase)45</v>
      </c>
      <c r="C529" t="s">
        <v>548</v>
      </c>
      <c r="D529" t="s">
        <v>537</v>
      </c>
      <c r="F529">
        <v>45</v>
      </c>
      <c r="G529" t="s">
        <v>535</v>
      </c>
      <c r="H529" s="26">
        <v>45565</v>
      </c>
      <c r="I529" s="131"/>
      <c r="J529" s="131"/>
      <c r="K529" s="131"/>
      <c r="L529" s="131"/>
      <c r="M529" s="131"/>
      <c r="N529" s="131"/>
      <c r="O529" s="132"/>
      <c r="P529" s="155" t="s">
        <v>539</v>
      </c>
    </row>
    <row r="530" spans="2:16" ht="15" x14ac:dyDescent="0.35">
      <c r="B530" t="str">
        <f t="shared" si="93"/>
        <v>iBoxx MSCI USD High Yield Paris Aligned Capped TCA Index (12/31/2020-11/30/2022 -- pre-trajectory rebase)46</v>
      </c>
      <c r="C530" t="s">
        <v>548</v>
      </c>
      <c r="D530" t="s">
        <v>537</v>
      </c>
      <c r="F530">
        <v>46</v>
      </c>
      <c r="G530" t="s">
        <v>535</v>
      </c>
      <c r="H530" s="26">
        <v>45596</v>
      </c>
      <c r="I530" s="131"/>
      <c r="J530" s="131"/>
      <c r="K530" s="131"/>
      <c r="L530" s="131"/>
      <c r="M530" s="131"/>
      <c r="N530" s="131"/>
      <c r="O530" s="132"/>
      <c r="P530" s="155" t="s">
        <v>539</v>
      </c>
    </row>
    <row r="531" spans="2:16" ht="15" x14ac:dyDescent="0.35">
      <c r="B531" t="str">
        <f t="shared" si="93"/>
        <v>iBoxx MSCI USD High Yield Paris Aligned Capped TCA Index (12/31/2020-11/30/2022 -- pre-trajectory rebase)47</v>
      </c>
      <c r="C531" t="s">
        <v>548</v>
      </c>
      <c r="D531" t="s">
        <v>537</v>
      </c>
      <c r="F531">
        <v>47</v>
      </c>
      <c r="G531" t="s">
        <v>535</v>
      </c>
      <c r="H531" s="26">
        <v>45626</v>
      </c>
      <c r="I531" s="131"/>
      <c r="J531" s="131"/>
      <c r="K531" s="131"/>
      <c r="L531" s="131"/>
      <c r="M531" s="131"/>
      <c r="N531" s="131"/>
      <c r="O531" s="132"/>
      <c r="P531" s="155" t="s">
        <v>539</v>
      </c>
    </row>
    <row r="532" spans="2:16" ht="15" x14ac:dyDescent="0.35">
      <c r="B532" t="str">
        <f t="shared" si="93"/>
        <v>iBoxx MSCI USD High Yield Paris Aligned Capped TCA Index (12/31/2020-11/30/2022 -- pre-trajectory rebase)48</v>
      </c>
      <c r="C532" t="s">
        <v>548</v>
      </c>
      <c r="D532" t="s">
        <v>537</v>
      </c>
      <c r="F532">
        <v>48</v>
      </c>
      <c r="G532" t="s">
        <v>535</v>
      </c>
      <c r="H532" s="26">
        <v>45657</v>
      </c>
      <c r="I532" s="131"/>
      <c r="J532" s="131"/>
      <c r="K532" s="131"/>
      <c r="L532" s="131"/>
      <c r="M532" s="131"/>
      <c r="N532" s="131"/>
      <c r="O532" s="132"/>
      <c r="P532" s="155" t="s">
        <v>539</v>
      </c>
    </row>
    <row r="533" spans="2:16" ht="15" x14ac:dyDescent="0.35">
      <c r="B533" t="str">
        <f t="shared" si="93"/>
        <v>iBoxx MSCI USD High Yield Paris Aligned Capped TCA Index (12/31/2020-11/30/2022 -- pre-trajectory rebase)49</v>
      </c>
      <c r="C533" t="s">
        <v>548</v>
      </c>
      <c r="D533" t="s">
        <v>537</v>
      </c>
      <c r="F533">
        <v>49</v>
      </c>
      <c r="G533" t="s">
        <v>535</v>
      </c>
      <c r="H533" s="26">
        <v>45688</v>
      </c>
      <c r="I533" s="131"/>
      <c r="J533" s="131"/>
      <c r="K533" s="131"/>
      <c r="L533" s="131"/>
      <c r="M533" s="131"/>
      <c r="N533" s="131"/>
      <c r="O533" s="132"/>
      <c r="P533" s="155" t="s">
        <v>539</v>
      </c>
    </row>
    <row r="534" spans="2:16" ht="15" x14ac:dyDescent="0.35">
      <c r="B534" t="str">
        <f t="shared" si="93"/>
        <v>iBoxx MSCI USD High Yield Paris Aligned Capped TCA Index (12/31/2020-11/30/2022 -- pre-trajectory rebase)50</v>
      </c>
      <c r="C534" t="s">
        <v>548</v>
      </c>
      <c r="D534" t="s">
        <v>537</v>
      </c>
      <c r="F534">
        <v>50</v>
      </c>
      <c r="G534" t="s">
        <v>535</v>
      </c>
      <c r="H534" s="26">
        <v>45716</v>
      </c>
      <c r="I534" s="131"/>
      <c r="J534" s="131"/>
      <c r="K534" s="131"/>
      <c r="L534" s="131"/>
      <c r="M534" s="131"/>
      <c r="N534" s="131"/>
      <c r="O534" s="132"/>
      <c r="P534" s="155" t="s">
        <v>539</v>
      </c>
    </row>
    <row r="535" spans="2:16" ht="15" x14ac:dyDescent="0.35">
      <c r="B535" t="str">
        <f t="shared" si="93"/>
        <v>iBoxx MSCI USD High Yield Paris Aligned Capped TCA Index (12/31/2020-11/30/2022 -- pre-trajectory rebase)51</v>
      </c>
      <c r="C535" t="s">
        <v>548</v>
      </c>
      <c r="D535" t="s">
        <v>537</v>
      </c>
      <c r="F535">
        <v>51</v>
      </c>
      <c r="G535" t="s">
        <v>535</v>
      </c>
      <c r="H535" s="26">
        <v>45747</v>
      </c>
      <c r="I535" s="131"/>
      <c r="J535" s="131"/>
      <c r="K535" s="131"/>
      <c r="L535" s="131"/>
      <c r="M535" s="131"/>
      <c r="N535" s="131"/>
      <c r="O535" s="132"/>
      <c r="P535" s="155" t="s">
        <v>539</v>
      </c>
    </row>
    <row r="536" spans="2:16" ht="15" x14ac:dyDescent="0.35">
      <c r="B536" t="str">
        <f t="shared" si="93"/>
        <v>iBoxx MSCI USD High Yield Paris Aligned Capped TCA Index (12/31/2020-11/30/2022 -- pre-trajectory rebase)52</v>
      </c>
      <c r="C536" t="s">
        <v>548</v>
      </c>
      <c r="D536" t="s">
        <v>537</v>
      </c>
      <c r="F536">
        <v>52</v>
      </c>
      <c r="G536" t="s">
        <v>535</v>
      </c>
      <c r="H536" s="26">
        <v>45777</v>
      </c>
      <c r="I536" s="131"/>
      <c r="J536" s="131"/>
      <c r="K536" s="131"/>
      <c r="L536" s="131"/>
      <c r="M536" s="131"/>
      <c r="N536" s="131"/>
      <c r="O536" s="132"/>
      <c r="P536" s="155" t="s">
        <v>539</v>
      </c>
    </row>
    <row r="537" spans="2:16" ht="15" x14ac:dyDescent="0.35">
      <c r="B537" t="str">
        <f t="shared" si="93"/>
        <v>iBoxx MSCI USD High Yield Paris Aligned Capped TCA Index (12/31/2020-11/30/2022 -- pre-trajectory rebase)53</v>
      </c>
      <c r="C537" t="s">
        <v>548</v>
      </c>
      <c r="D537" t="s">
        <v>537</v>
      </c>
      <c r="F537">
        <v>53</v>
      </c>
      <c r="G537" t="s">
        <v>535</v>
      </c>
      <c r="H537" s="26">
        <v>45808</v>
      </c>
      <c r="I537" s="131"/>
      <c r="J537" s="131"/>
      <c r="K537" s="131"/>
      <c r="L537" s="131"/>
      <c r="M537" s="131"/>
      <c r="N537" s="131"/>
      <c r="O537" s="132"/>
      <c r="P537" s="155" t="s">
        <v>539</v>
      </c>
    </row>
    <row r="538" spans="2:16" ht="15" x14ac:dyDescent="0.35">
      <c r="B538" t="str">
        <f t="shared" si="93"/>
        <v>iBoxx MSCI USD High Yield Paris Aligned Capped TCA Index (12/31/2020-11/30/2022 -- pre-trajectory rebase)54</v>
      </c>
      <c r="C538" t="s">
        <v>548</v>
      </c>
      <c r="D538" t="s">
        <v>537</v>
      </c>
      <c r="F538">
        <v>54</v>
      </c>
      <c r="G538" t="s">
        <v>535</v>
      </c>
      <c r="H538" s="26">
        <v>45838</v>
      </c>
      <c r="I538" s="131"/>
      <c r="J538" s="131"/>
      <c r="K538" s="131"/>
      <c r="L538" s="131"/>
      <c r="M538" s="131"/>
      <c r="N538" s="131"/>
      <c r="O538" s="132"/>
      <c r="P538" s="155" t="s">
        <v>539</v>
      </c>
    </row>
    <row r="539" spans="2:16" ht="15" x14ac:dyDescent="0.35">
      <c r="B539" t="str">
        <f t="shared" si="93"/>
        <v>iBoxx MSCI USD High Yield Paris Aligned Capped TCA Index (12/31/2020-11/30/2022 -- pre-trajectory rebase)55</v>
      </c>
      <c r="C539" t="s">
        <v>548</v>
      </c>
      <c r="D539" t="s">
        <v>537</v>
      </c>
      <c r="F539">
        <v>55</v>
      </c>
      <c r="G539" t="s">
        <v>535</v>
      </c>
      <c r="H539" s="26">
        <v>45869</v>
      </c>
      <c r="I539" s="131"/>
      <c r="J539" s="131"/>
      <c r="K539" s="131"/>
      <c r="L539" s="131"/>
      <c r="M539" s="131"/>
      <c r="N539" s="131"/>
      <c r="O539" s="132"/>
      <c r="P539" s="155" t="s">
        <v>539</v>
      </c>
    </row>
    <row r="540" spans="2:16" ht="15" x14ac:dyDescent="0.35">
      <c r="B540" t="str">
        <f t="shared" si="93"/>
        <v>iBoxx MSCI USD High Yield Paris Aligned Capped TCA Index (12/31/2020-11/30/2022 -- pre-trajectory rebase)56</v>
      </c>
      <c r="C540" t="s">
        <v>548</v>
      </c>
      <c r="D540" t="s">
        <v>537</v>
      </c>
      <c r="F540">
        <v>56</v>
      </c>
      <c r="G540" t="s">
        <v>535</v>
      </c>
      <c r="H540" s="26">
        <v>45900</v>
      </c>
      <c r="I540" s="131"/>
      <c r="J540" s="131"/>
      <c r="K540" s="131"/>
      <c r="L540" s="131"/>
      <c r="M540" s="131"/>
      <c r="N540" s="131"/>
      <c r="O540" s="132"/>
      <c r="P540" s="155" t="s">
        <v>539</v>
      </c>
    </row>
    <row r="541" spans="2:16" ht="15" x14ac:dyDescent="0.35">
      <c r="B541" t="str">
        <f t="shared" si="93"/>
        <v>iBoxx MSCI USD High Yield Paris Aligned Capped TCA Index (12/31/2020-11/30/2022 -- pre-trajectory rebase)57</v>
      </c>
      <c r="C541" t="s">
        <v>548</v>
      </c>
      <c r="D541" t="s">
        <v>537</v>
      </c>
      <c r="F541">
        <v>57</v>
      </c>
      <c r="G541" t="s">
        <v>535</v>
      </c>
      <c r="H541" s="26">
        <v>45930</v>
      </c>
      <c r="I541" s="131"/>
      <c r="J541" s="131"/>
      <c r="K541" s="131"/>
      <c r="L541" s="131"/>
      <c r="M541" s="131"/>
      <c r="N541" s="131"/>
      <c r="O541" s="132"/>
      <c r="P541" s="155" t="s">
        <v>539</v>
      </c>
    </row>
    <row r="542" spans="2:16" ht="15" x14ac:dyDescent="0.35">
      <c r="B542" t="str">
        <f t="shared" si="93"/>
        <v>iBoxx MSCI USD High Yield Paris Aligned Capped TCA Index (12/31/2020-11/30/2022 -- pre-trajectory rebase)58</v>
      </c>
      <c r="C542" t="s">
        <v>548</v>
      </c>
      <c r="D542" t="s">
        <v>537</v>
      </c>
      <c r="F542">
        <v>58</v>
      </c>
      <c r="G542" t="s">
        <v>535</v>
      </c>
      <c r="H542" s="26">
        <v>45961</v>
      </c>
      <c r="I542" s="131"/>
      <c r="J542" s="131"/>
      <c r="K542" s="131"/>
      <c r="L542" s="131"/>
      <c r="M542" s="131"/>
      <c r="N542" s="131"/>
      <c r="O542" s="132"/>
      <c r="P542" s="155" t="s">
        <v>539</v>
      </c>
    </row>
    <row r="543" spans="2:16" ht="15" x14ac:dyDescent="0.35">
      <c r="B543" t="str">
        <f t="shared" si="93"/>
        <v>iBoxx MSCI USD High Yield Paris Aligned Capped TCA Index (12/31/2020-11/30/2022 -- pre-trajectory rebase)59</v>
      </c>
      <c r="C543" t="s">
        <v>548</v>
      </c>
      <c r="D543" t="s">
        <v>537</v>
      </c>
      <c r="F543">
        <v>59</v>
      </c>
      <c r="G543" t="s">
        <v>535</v>
      </c>
      <c r="H543" s="26">
        <v>45991</v>
      </c>
      <c r="I543" s="131"/>
      <c r="J543" s="131"/>
      <c r="K543" s="131"/>
      <c r="L543" s="131"/>
      <c r="M543" s="131"/>
      <c r="N543" s="131"/>
      <c r="O543" s="132"/>
      <c r="P543" s="155" t="s">
        <v>539</v>
      </c>
    </row>
    <row r="544" spans="2:16" ht="15" x14ac:dyDescent="0.35">
      <c r="B544" t="str">
        <f t="shared" si="93"/>
        <v>iBoxx MSCI USD High Yield Paris Aligned Capped TCA Index (12/31/2020-11/30/2022 -- pre-trajectory rebase)60</v>
      </c>
      <c r="C544" t="s">
        <v>548</v>
      </c>
      <c r="D544" t="s">
        <v>537</v>
      </c>
      <c r="F544">
        <v>60</v>
      </c>
      <c r="G544" t="s">
        <v>535</v>
      </c>
      <c r="H544" s="26">
        <v>46022</v>
      </c>
      <c r="I544" s="131"/>
      <c r="J544" s="131"/>
      <c r="K544" s="131"/>
      <c r="L544" s="131"/>
      <c r="M544" s="131"/>
      <c r="N544" s="131"/>
      <c r="O544" s="132"/>
      <c r="P544" s="155" t="s">
        <v>539</v>
      </c>
    </row>
    <row r="545" spans="2:16" ht="15" x14ac:dyDescent="0.35">
      <c r="B545" t="str">
        <f t="shared" si="93"/>
        <v>iBoxx MSCI USD High Yield Paris Aligned Capped TCA Index (12/31/2020-11/30/2022 -- pre-trajectory rebase)61</v>
      </c>
      <c r="C545" t="s">
        <v>548</v>
      </c>
      <c r="D545" t="s">
        <v>537</v>
      </c>
      <c r="F545">
        <v>61</v>
      </c>
      <c r="G545" t="s">
        <v>535</v>
      </c>
      <c r="H545" s="26">
        <v>46053</v>
      </c>
      <c r="I545" s="131"/>
      <c r="J545" s="131"/>
      <c r="K545" s="131"/>
      <c r="L545" s="131"/>
      <c r="M545" s="131"/>
      <c r="N545" s="131"/>
      <c r="O545" s="132"/>
      <c r="P545" s="155" t="s">
        <v>539</v>
      </c>
    </row>
    <row r="546" spans="2:16" ht="15" x14ac:dyDescent="0.35">
      <c r="B546" t="str">
        <f t="shared" si="93"/>
        <v>iBoxx MSCI USD High Yield Paris Aligned Capped TCA Index (12/31/2020-11/30/2022 -- pre-trajectory rebase)62</v>
      </c>
      <c r="C546" t="s">
        <v>548</v>
      </c>
      <c r="D546" t="s">
        <v>537</v>
      </c>
      <c r="F546">
        <v>62</v>
      </c>
      <c r="G546" t="s">
        <v>535</v>
      </c>
      <c r="H546" s="26">
        <v>46081</v>
      </c>
      <c r="I546" s="131"/>
      <c r="J546" s="131"/>
      <c r="K546" s="131"/>
      <c r="L546" s="131"/>
      <c r="M546" s="131"/>
      <c r="N546" s="131"/>
      <c r="O546" s="132"/>
      <c r="P546" s="155" t="s">
        <v>539</v>
      </c>
    </row>
    <row r="547" spans="2:16" ht="15" x14ac:dyDescent="0.35">
      <c r="B547" t="str">
        <f t="shared" si="93"/>
        <v>iBoxx MSCI USD High Yield Paris Aligned Capped TCA Index (12/31/2020-11/30/2022 -- pre-trajectory rebase)63</v>
      </c>
      <c r="C547" t="s">
        <v>548</v>
      </c>
      <c r="D547" t="s">
        <v>537</v>
      </c>
      <c r="F547">
        <v>63</v>
      </c>
      <c r="G547" t="s">
        <v>535</v>
      </c>
      <c r="H547" s="26">
        <v>46112</v>
      </c>
      <c r="I547" s="131"/>
      <c r="J547" s="131"/>
      <c r="K547" s="131"/>
      <c r="L547" s="131"/>
      <c r="M547" s="131"/>
      <c r="N547" s="131"/>
      <c r="O547" s="132"/>
      <c r="P547" s="155" t="s">
        <v>539</v>
      </c>
    </row>
    <row r="548" spans="2:16" ht="15" x14ac:dyDescent="0.35">
      <c r="B548" t="str">
        <f t="shared" ref="B548:B604" si="94">_xlfn.CONCAT(C548,F548)</f>
        <v>iBoxx MSCI USD High Yield Paris Aligned Capped TCA Index (12/31/2020-11/30/2022 -- pre-trajectory rebase)64</v>
      </c>
      <c r="C548" t="s">
        <v>548</v>
      </c>
      <c r="D548" t="s">
        <v>537</v>
      </c>
      <c r="F548">
        <v>64</v>
      </c>
      <c r="G548" t="s">
        <v>535</v>
      </c>
      <c r="H548" s="26">
        <v>46142</v>
      </c>
      <c r="I548" s="131"/>
      <c r="J548" s="131"/>
      <c r="K548" s="131"/>
      <c r="L548" s="131"/>
      <c r="M548" s="131"/>
      <c r="N548" s="131"/>
      <c r="O548" s="132"/>
      <c r="P548" s="155" t="s">
        <v>539</v>
      </c>
    </row>
    <row r="549" spans="2:16" ht="15" x14ac:dyDescent="0.35">
      <c r="B549" t="str">
        <f t="shared" si="94"/>
        <v>iBoxx MSCI USD High Yield Paris Aligned Capped TCA Index (12/31/2020-11/30/2022 -- pre-trajectory rebase)65</v>
      </c>
      <c r="C549" t="s">
        <v>548</v>
      </c>
      <c r="D549" t="s">
        <v>537</v>
      </c>
      <c r="F549">
        <v>65</v>
      </c>
      <c r="G549" t="s">
        <v>535</v>
      </c>
      <c r="H549" s="26">
        <v>46173</v>
      </c>
      <c r="I549" s="131"/>
      <c r="J549" s="131"/>
      <c r="K549" s="131"/>
      <c r="L549" s="131"/>
      <c r="M549" s="131"/>
      <c r="N549" s="131"/>
      <c r="O549" s="132"/>
      <c r="P549" s="155" t="s">
        <v>539</v>
      </c>
    </row>
    <row r="550" spans="2:16" ht="15" x14ac:dyDescent="0.35">
      <c r="B550" t="str">
        <f t="shared" si="94"/>
        <v>iBoxx MSCI USD High Yield Paris Aligned Capped TCA Index (12/31/2020-11/30/2022 -- pre-trajectory rebase)66</v>
      </c>
      <c r="C550" t="s">
        <v>548</v>
      </c>
      <c r="D550" t="s">
        <v>537</v>
      </c>
      <c r="F550">
        <v>66</v>
      </c>
      <c r="G550" t="s">
        <v>535</v>
      </c>
      <c r="H550" s="26">
        <v>46203</v>
      </c>
      <c r="I550" s="131"/>
      <c r="J550" s="131"/>
      <c r="K550" s="131"/>
      <c r="L550" s="131"/>
      <c r="M550" s="131"/>
      <c r="N550" s="131"/>
      <c r="O550" s="132"/>
      <c r="P550" s="155" t="s">
        <v>539</v>
      </c>
    </row>
    <row r="551" spans="2:16" ht="15" x14ac:dyDescent="0.35">
      <c r="B551" t="str">
        <f t="shared" si="94"/>
        <v>iBoxx MSCI USD High Yield Paris Aligned Capped TCA Index (12/31/2020-11/30/2022 -- pre-trajectory rebase)67</v>
      </c>
      <c r="C551" t="s">
        <v>548</v>
      </c>
      <c r="D551" t="s">
        <v>537</v>
      </c>
      <c r="F551">
        <v>67</v>
      </c>
      <c r="G551" t="s">
        <v>535</v>
      </c>
      <c r="H551" s="26">
        <v>46234</v>
      </c>
      <c r="I551" s="131"/>
      <c r="J551" s="131"/>
      <c r="K551" s="131"/>
      <c r="L551" s="131"/>
      <c r="M551" s="131"/>
      <c r="N551" s="131"/>
      <c r="O551" s="132"/>
      <c r="P551" s="155" t="s">
        <v>539</v>
      </c>
    </row>
    <row r="552" spans="2:16" ht="15" x14ac:dyDescent="0.35">
      <c r="B552" t="str">
        <f t="shared" si="94"/>
        <v>iBoxx MSCI USD High Yield Paris Aligned Capped TCA Index (12/31/2020-11/30/2022 -- pre-trajectory rebase)68</v>
      </c>
      <c r="C552" t="s">
        <v>548</v>
      </c>
      <c r="D552" t="s">
        <v>537</v>
      </c>
      <c r="F552">
        <v>68</v>
      </c>
      <c r="G552" t="s">
        <v>535</v>
      </c>
      <c r="H552" s="26">
        <v>46265</v>
      </c>
      <c r="I552" s="131"/>
      <c r="J552" s="131"/>
      <c r="K552" s="131"/>
      <c r="L552" s="131"/>
      <c r="M552" s="131"/>
      <c r="N552" s="131"/>
      <c r="O552" s="132"/>
      <c r="P552" s="155" t="s">
        <v>539</v>
      </c>
    </row>
    <row r="553" spans="2:16" ht="15" x14ac:dyDescent="0.35">
      <c r="B553" t="str">
        <f t="shared" si="94"/>
        <v>iBoxx MSCI USD High Yield Paris Aligned Capped TCA Index (12/31/2020-11/30/2022 -- pre-trajectory rebase)69</v>
      </c>
      <c r="C553" t="s">
        <v>548</v>
      </c>
      <c r="D553" t="s">
        <v>537</v>
      </c>
      <c r="F553">
        <v>69</v>
      </c>
      <c r="G553" t="s">
        <v>535</v>
      </c>
      <c r="H553" s="26">
        <v>46295</v>
      </c>
      <c r="I553" s="131"/>
      <c r="J553" s="131"/>
      <c r="K553" s="131"/>
      <c r="L553" s="131"/>
      <c r="M553" s="131"/>
      <c r="N553" s="131"/>
      <c r="O553" s="132"/>
      <c r="P553" s="155" t="s">
        <v>539</v>
      </c>
    </row>
    <row r="554" spans="2:16" ht="15" x14ac:dyDescent="0.35">
      <c r="B554" t="str">
        <f t="shared" si="94"/>
        <v>iBoxx MSCI USD High Yield Paris Aligned Capped TCA Index (12/31/2020-11/30/2022 -- pre-trajectory rebase)70</v>
      </c>
      <c r="C554" t="s">
        <v>548</v>
      </c>
      <c r="D554" t="s">
        <v>537</v>
      </c>
      <c r="F554">
        <v>70</v>
      </c>
      <c r="G554" t="s">
        <v>535</v>
      </c>
      <c r="H554" s="26">
        <v>46326</v>
      </c>
      <c r="I554" s="131"/>
      <c r="J554" s="131"/>
      <c r="K554" s="131"/>
      <c r="L554" s="131"/>
      <c r="M554" s="131"/>
      <c r="N554" s="131"/>
      <c r="O554" s="132"/>
      <c r="P554" s="155" t="s">
        <v>539</v>
      </c>
    </row>
    <row r="555" spans="2:16" ht="15" x14ac:dyDescent="0.35">
      <c r="B555" t="str">
        <f t="shared" si="94"/>
        <v>iBoxx MSCI USD High Yield Paris Aligned Capped TCA Index (12/31/2020-11/30/2022 -- pre-trajectory rebase)71</v>
      </c>
      <c r="C555" t="s">
        <v>548</v>
      </c>
      <c r="D555" t="s">
        <v>537</v>
      </c>
      <c r="F555">
        <v>71</v>
      </c>
      <c r="G555" t="s">
        <v>535</v>
      </c>
      <c r="H555" s="26">
        <v>46356</v>
      </c>
      <c r="I555" s="131"/>
      <c r="J555" s="131"/>
      <c r="K555" s="131"/>
      <c r="L555" s="131"/>
      <c r="M555" s="131"/>
      <c r="N555" s="131"/>
      <c r="O555" s="132"/>
      <c r="P555" s="155" t="s">
        <v>539</v>
      </c>
    </row>
    <row r="556" spans="2:16" ht="15" x14ac:dyDescent="0.35">
      <c r="B556" t="str">
        <f t="shared" si="94"/>
        <v>iBoxx MSCI USD High Yield Paris Aligned Capped TCA Index (12/31/2020-11/30/2022 -- pre-trajectory rebase)72</v>
      </c>
      <c r="C556" t="s">
        <v>548</v>
      </c>
      <c r="D556" t="s">
        <v>537</v>
      </c>
      <c r="F556">
        <v>72</v>
      </c>
      <c r="G556" t="s">
        <v>535</v>
      </c>
      <c r="H556" s="26">
        <v>46387</v>
      </c>
      <c r="I556" s="131"/>
      <c r="J556" s="131"/>
      <c r="K556" s="131"/>
      <c r="L556" s="131"/>
      <c r="M556" s="131"/>
      <c r="N556" s="131"/>
      <c r="O556" s="132"/>
      <c r="P556" s="155" t="s">
        <v>539</v>
      </c>
    </row>
    <row r="557" spans="2:16" ht="15" x14ac:dyDescent="0.35">
      <c r="B557" t="str">
        <f t="shared" si="94"/>
        <v>iBoxx MSCI USD High Yield Paris Aligned Capped TCA Index (12/31/2020-11/30/2022 -- pre-trajectory rebase)73</v>
      </c>
      <c r="C557" t="s">
        <v>548</v>
      </c>
      <c r="D557" t="s">
        <v>537</v>
      </c>
      <c r="F557">
        <v>73</v>
      </c>
      <c r="G557" t="s">
        <v>535</v>
      </c>
      <c r="H557" s="26">
        <v>46418</v>
      </c>
      <c r="I557" s="131"/>
      <c r="J557" s="131"/>
      <c r="K557" s="131"/>
      <c r="L557" s="131"/>
      <c r="M557" s="131"/>
      <c r="N557" s="131"/>
      <c r="O557" s="132"/>
      <c r="P557" s="155" t="s">
        <v>539</v>
      </c>
    </row>
    <row r="558" spans="2:16" ht="15" x14ac:dyDescent="0.35">
      <c r="B558" t="str">
        <f t="shared" si="94"/>
        <v>iBoxx MSCI USD High Yield Paris Aligned Capped TCA Index (12/31/2020-11/30/2022 -- pre-trajectory rebase)74</v>
      </c>
      <c r="C558" t="s">
        <v>548</v>
      </c>
      <c r="D558" t="s">
        <v>537</v>
      </c>
      <c r="F558">
        <v>74</v>
      </c>
      <c r="G558" t="s">
        <v>535</v>
      </c>
      <c r="H558" s="26">
        <v>46446</v>
      </c>
      <c r="I558" s="131"/>
      <c r="J558" s="131"/>
      <c r="K558" s="131"/>
      <c r="L558" s="131"/>
      <c r="M558" s="131"/>
      <c r="N558" s="131"/>
      <c r="O558" s="132"/>
      <c r="P558" s="155" t="s">
        <v>539</v>
      </c>
    </row>
    <row r="559" spans="2:16" ht="15" x14ac:dyDescent="0.35">
      <c r="B559" t="str">
        <f t="shared" si="94"/>
        <v>iBoxx MSCI USD High Yield Paris Aligned Capped TCA Index (12/31/2020-11/30/2022 -- pre-trajectory rebase)75</v>
      </c>
      <c r="C559" t="s">
        <v>548</v>
      </c>
      <c r="D559" t="s">
        <v>537</v>
      </c>
      <c r="F559">
        <v>75</v>
      </c>
      <c r="G559" t="s">
        <v>535</v>
      </c>
      <c r="H559" s="26">
        <v>46477</v>
      </c>
      <c r="I559" s="131"/>
      <c r="J559" s="131"/>
      <c r="K559" s="131"/>
      <c r="L559" s="131"/>
      <c r="M559" s="131"/>
      <c r="N559" s="131"/>
      <c r="O559" s="132"/>
      <c r="P559" s="155" t="s">
        <v>539</v>
      </c>
    </row>
    <row r="560" spans="2:16" ht="15" x14ac:dyDescent="0.35">
      <c r="B560" t="str">
        <f t="shared" si="94"/>
        <v>iBoxx MSCI USD High Yield Paris Aligned Capped TCA Index (12/31/2020-11/30/2022 -- pre-trajectory rebase)76</v>
      </c>
      <c r="C560" t="s">
        <v>548</v>
      </c>
      <c r="D560" t="s">
        <v>537</v>
      </c>
      <c r="F560">
        <v>76</v>
      </c>
      <c r="G560" t="s">
        <v>535</v>
      </c>
      <c r="H560" s="26">
        <v>46507</v>
      </c>
      <c r="I560" s="131"/>
      <c r="J560" s="131"/>
      <c r="K560" s="131"/>
      <c r="L560" s="131"/>
      <c r="M560" s="131"/>
      <c r="N560" s="131"/>
      <c r="O560" s="132"/>
      <c r="P560" s="155" t="s">
        <v>539</v>
      </c>
    </row>
    <row r="561" spans="2:16" ht="15" x14ac:dyDescent="0.35">
      <c r="B561" t="str">
        <f t="shared" si="94"/>
        <v>iBoxx MSCI USD High Yield Paris Aligned Capped TCA Index (12/31/2020-11/30/2022 -- pre-trajectory rebase)77</v>
      </c>
      <c r="C561" t="s">
        <v>548</v>
      </c>
      <c r="D561" t="s">
        <v>537</v>
      </c>
      <c r="F561">
        <v>77</v>
      </c>
      <c r="G561" t="s">
        <v>535</v>
      </c>
      <c r="H561" s="26">
        <v>46538</v>
      </c>
      <c r="I561" s="131"/>
      <c r="J561" s="131"/>
      <c r="K561" s="131"/>
      <c r="L561" s="131"/>
      <c r="M561" s="131"/>
      <c r="N561" s="131"/>
      <c r="O561" s="132"/>
      <c r="P561" s="155" t="s">
        <v>539</v>
      </c>
    </row>
    <row r="562" spans="2:16" ht="15" x14ac:dyDescent="0.35">
      <c r="B562" t="str">
        <f t="shared" si="94"/>
        <v>iBoxx MSCI USD High Yield Paris Aligned Capped TCA Index (12/31/2020-11/30/2022 -- pre-trajectory rebase)78</v>
      </c>
      <c r="C562" t="s">
        <v>548</v>
      </c>
      <c r="D562" t="s">
        <v>537</v>
      </c>
      <c r="F562">
        <v>78</v>
      </c>
      <c r="G562" t="s">
        <v>535</v>
      </c>
      <c r="H562" s="26">
        <v>46568</v>
      </c>
      <c r="I562" s="131"/>
      <c r="J562" s="131"/>
      <c r="K562" s="131"/>
      <c r="L562" s="131"/>
      <c r="M562" s="131"/>
      <c r="N562" s="131"/>
      <c r="O562" s="132"/>
      <c r="P562" s="155" t="s">
        <v>539</v>
      </c>
    </row>
    <row r="563" spans="2:16" ht="15" x14ac:dyDescent="0.35">
      <c r="B563" t="str">
        <f t="shared" si="94"/>
        <v>iBoxx MSCI USD High Yield Paris Aligned Capped TCA Index (12/31/2020-11/30/2022 -- pre-trajectory rebase)79</v>
      </c>
      <c r="C563" t="s">
        <v>548</v>
      </c>
      <c r="D563" t="s">
        <v>537</v>
      </c>
      <c r="F563">
        <v>79</v>
      </c>
      <c r="G563" t="s">
        <v>535</v>
      </c>
      <c r="H563" s="26">
        <v>46599</v>
      </c>
      <c r="I563" s="131"/>
      <c r="J563" s="131"/>
      <c r="K563" s="131"/>
      <c r="L563" s="131"/>
      <c r="M563" s="131"/>
      <c r="N563" s="131"/>
      <c r="O563" s="132"/>
      <c r="P563" s="155" t="s">
        <v>539</v>
      </c>
    </row>
    <row r="564" spans="2:16" ht="15" x14ac:dyDescent="0.35">
      <c r="B564" t="str">
        <f t="shared" si="94"/>
        <v>iBoxx MSCI USD High Yield Paris Aligned Capped TCA Index (12/31/2020-11/30/2022 -- pre-trajectory rebase)80</v>
      </c>
      <c r="C564" t="s">
        <v>548</v>
      </c>
      <c r="D564" t="s">
        <v>537</v>
      </c>
      <c r="F564">
        <v>80</v>
      </c>
      <c r="G564" t="s">
        <v>535</v>
      </c>
      <c r="H564" s="26">
        <v>46630</v>
      </c>
      <c r="I564" s="131"/>
      <c r="J564" s="131"/>
      <c r="K564" s="131"/>
      <c r="L564" s="131"/>
      <c r="M564" s="131"/>
      <c r="N564" s="131"/>
      <c r="O564" s="132"/>
      <c r="P564" s="155" t="s">
        <v>539</v>
      </c>
    </row>
    <row r="565" spans="2:16" ht="15" x14ac:dyDescent="0.35">
      <c r="B565" t="str">
        <f t="shared" si="94"/>
        <v>iBoxx MSCI USD High Yield Paris Aligned Capped TCA Index (12/31/2020-11/30/2022 -- pre-trajectory rebase)81</v>
      </c>
      <c r="C565" t="s">
        <v>548</v>
      </c>
      <c r="D565" t="s">
        <v>537</v>
      </c>
      <c r="F565">
        <v>81</v>
      </c>
      <c r="G565" t="s">
        <v>535</v>
      </c>
      <c r="H565" s="26">
        <v>46660</v>
      </c>
      <c r="I565" s="131"/>
      <c r="J565" s="131"/>
      <c r="K565" s="131"/>
      <c r="L565" s="131"/>
      <c r="M565" s="131"/>
      <c r="N565" s="131"/>
      <c r="O565" s="132"/>
      <c r="P565" s="155" t="s">
        <v>539</v>
      </c>
    </row>
    <row r="566" spans="2:16" ht="15" x14ac:dyDescent="0.35">
      <c r="B566" t="str">
        <f t="shared" si="94"/>
        <v>iBoxx MSCI USD High Yield Paris Aligned Capped TCA Index (12/31/2020-11/30/2022 -- pre-trajectory rebase)82</v>
      </c>
      <c r="C566" t="s">
        <v>548</v>
      </c>
      <c r="D566" t="s">
        <v>537</v>
      </c>
      <c r="F566">
        <v>82</v>
      </c>
      <c r="G566" t="s">
        <v>535</v>
      </c>
      <c r="H566" s="26">
        <v>46691</v>
      </c>
      <c r="I566" s="131"/>
      <c r="J566" s="131"/>
      <c r="K566" s="131"/>
      <c r="L566" s="131"/>
      <c r="M566" s="131"/>
      <c r="N566" s="131"/>
      <c r="O566" s="132"/>
      <c r="P566" s="155" t="s">
        <v>539</v>
      </c>
    </row>
    <row r="567" spans="2:16" ht="15" x14ac:dyDescent="0.35">
      <c r="B567" t="str">
        <f t="shared" si="94"/>
        <v>iBoxx MSCI USD High Yield Paris Aligned Capped TCA Index (12/31/2020-11/30/2022 -- pre-trajectory rebase)83</v>
      </c>
      <c r="C567" t="s">
        <v>548</v>
      </c>
      <c r="D567" t="s">
        <v>537</v>
      </c>
      <c r="F567">
        <v>83</v>
      </c>
      <c r="G567" t="s">
        <v>535</v>
      </c>
      <c r="H567" s="26">
        <v>46721</v>
      </c>
      <c r="I567" s="131"/>
      <c r="J567" s="131"/>
      <c r="K567" s="131"/>
      <c r="L567" s="131"/>
      <c r="M567" s="131"/>
      <c r="N567" s="131"/>
      <c r="O567" s="132"/>
      <c r="P567" s="155" t="s">
        <v>539</v>
      </c>
    </row>
    <row r="568" spans="2:16" ht="15" x14ac:dyDescent="0.35">
      <c r="B568" t="str">
        <f t="shared" si="94"/>
        <v>iBoxx MSCI USD High Yield Paris Aligned Capped TCA Index (12/31/2020-11/30/2022 -- pre-trajectory rebase)84</v>
      </c>
      <c r="C568" t="s">
        <v>548</v>
      </c>
      <c r="D568" t="s">
        <v>537</v>
      </c>
      <c r="F568">
        <v>84</v>
      </c>
      <c r="G568" t="s">
        <v>535</v>
      </c>
      <c r="H568" s="26">
        <v>46752</v>
      </c>
      <c r="I568" s="131"/>
      <c r="J568" s="131"/>
      <c r="K568" s="131"/>
      <c r="L568" s="131"/>
      <c r="M568" s="131"/>
      <c r="N568" s="131"/>
      <c r="O568" s="132"/>
      <c r="P568" s="155" t="s">
        <v>539</v>
      </c>
    </row>
    <row r="569" spans="2:16" ht="15" x14ac:dyDescent="0.35">
      <c r="B569" t="str">
        <f t="shared" si="94"/>
        <v>iBoxx MSCI USD High Yield Paris Aligned Capped TCA Index (12/31/2020-11/30/2022 -- pre-trajectory rebase)85</v>
      </c>
      <c r="C569" t="s">
        <v>548</v>
      </c>
      <c r="D569" t="s">
        <v>537</v>
      </c>
      <c r="F569">
        <v>85</v>
      </c>
      <c r="G569" t="s">
        <v>535</v>
      </c>
      <c r="H569" s="26">
        <v>46783</v>
      </c>
      <c r="I569" s="131"/>
      <c r="J569" s="131"/>
      <c r="K569" s="131"/>
      <c r="L569" s="131"/>
      <c r="M569" s="131"/>
      <c r="N569" s="131"/>
      <c r="O569" s="132"/>
      <c r="P569" s="155" t="s">
        <v>539</v>
      </c>
    </row>
    <row r="570" spans="2:16" ht="15" x14ac:dyDescent="0.35">
      <c r="B570" t="str">
        <f t="shared" si="94"/>
        <v>iBoxx MSCI USD High Yield Paris Aligned Capped TCA Index (12/31/2020-11/30/2022 -- pre-trajectory rebase)86</v>
      </c>
      <c r="C570" t="s">
        <v>548</v>
      </c>
      <c r="D570" t="s">
        <v>537</v>
      </c>
      <c r="F570">
        <v>86</v>
      </c>
      <c r="G570" t="s">
        <v>535</v>
      </c>
      <c r="H570" s="26">
        <v>46811</v>
      </c>
      <c r="I570" s="131"/>
      <c r="J570" s="131"/>
      <c r="K570" s="131"/>
      <c r="L570" s="131"/>
      <c r="M570" s="131"/>
      <c r="N570" s="131"/>
      <c r="O570" s="132"/>
      <c r="P570" s="155" t="s">
        <v>539</v>
      </c>
    </row>
    <row r="571" spans="2:16" ht="15" x14ac:dyDescent="0.35">
      <c r="B571" t="str">
        <f t="shared" si="94"/>
        <v>iBoxx MSCI USD High Yield Paris Aligned Capped TCA Index (12/31/2020-11/30/2022 -- pre-trajectory rebase)87</v>
      </c>
      <c r="C571" t="s">
        <v>548</v>
      </c>
      <c r="D571" t="s">
        <v>537</v>
      </c>
      <c r="F571">
        <v>87</v>
      </c>
      <c r="G571" t="s">
        <v>535</v>
      </c>
      <c r="H571" s="26">
        <v>46843</v>
      </c>
      <c r="I571" s="131"/>
      <c r="J571" s="131"/>
      <c r="K571" s="131"/>
      <c r="L571" s="131"/>
      <c r="M571" s="131"/>
      <c r="N571" s="131"/>
      <c r="O571" s="132"/>
      <c r="P571" s="155" t="s">
        <v>539</v>
      </c>
    </row>
    <row r="572" spans="2:16" ht="15" x14ac:dyDescent="0.35">
      <c r="B572" t="str">
        <f t="shared" si="94"/>
        <v>iBoxx MSCI USD High Yield Paris Aligned Capped TCA Index (12/31/2020-11/30/2022 -- pre-trajectory rebase)88</v>
      </c>
      <c r="C572" t="s">
        <v>548</v>
      </c>
      <c r="D572" t="s">
        <v>537</v>
      </c>
      <c r="F572">
        <v>88</v>
      </c>
      <c r="G572" t="s">
        <v>535</v>
      </c>
      <c r="H572" s="26">
        <v>46873</v>
      </c>
      <c r="I572" s="131"/>
      <c r="J572" s="131"/>
      <c r="K572" s="131"/>
      <c r="L572" s="131"/>
      <c r="M572" s="131"/>
      <c r="N572" s="131"/>
      <c r="O572" s="132"/>
      <c r="P572" s="155" t="s">
        <v>539</v>
      </c>
    </row>
    <row r="573" spans="2:16" ht="15" x14ac:dyDescent="0.35">
      <c r="B573" t="str">
        <f t="shared" si="94"/>
        <v>iBoxx MSCI USD High Yield Paris Aligned Capped TCA Index (12/31/2020-11/30/2022 -- pre-trajectory rebase)89</v>
      </c>
      <c r="C573" t="s">
        <v>548</v>
      </c>
      <c r="D573" t="s">
        <v>537</v>
      </c>
      <c r="F573">
        <v>89</v>
      </c>
      <c r="G573" t="s">
        <v>535</v>
      </c>
      <c r="H573" s="26">
        <v>46904</v>
      </c>
      <c r="I573" s="131"/>
      <c r="J573" s="131"/>
      <c r="K573" s="131"/>
      <c r="L573" s="131"/>
      <c r="M573" s="131"/>
      <c r="N573" s="131"/>
      <c r="O573" s="132"/>
      <c r="P573" s="155" t="s">
        <v>539</v>
      </c>
    </row>
    <row r="574" spans="2:16" ht="15" x14ac:dyDescent="0.35">
      <c r="B574" t="str">
        <f t="shared" si="94"/>
        <v>iBoxx MSCI USD High Yield Paris Aligned Capped TCA Index (12/31/2020-11/30/2022 -- pre-trajectory rebase)90</v>
      </c>
      <c r="C574" t="s">
        <v>548</v>
      </c>
      <c r="D574" t="s">
        <v>537</v>
      </c>
      <c r="F574">
        <v>90</v>
      </c>
      <c r="G574" t="s">
        <v>535</v>
      </c>
      <c r="H574" s="26">
        <v>46934</v>
      </c>
      <c r="I574" s="131"/>
      <c r="J574" s="131"/>
      <c r="K574" s="131"/>
      <c r="L574" s="131"/>
      <c r="M574" s="131"/>
      <c r="N574" s="131"/>
      <c r="O574" s="132"/>
      <c r="P574" s="155" t="s">
        <v>539</v>
      </c>
    </row>
    <row r="575" spans="2:16" ht="15" x14ac:dyDescent="0.35">
      <c r="B575" t="str">
        <f t="shared" si="94"/>
        <v>iBoxx MSCI USD High Yield Paris Aligned Capped TCA Index (12/31/2020-11/30/2022 -- pre-trajectory rebase)91</v>
      </c>
      <c r="C575" t="s">
        <v>548</v>
      </c>
      <c r="D575" t="s">
        <v>537</v>
      </c>
      <c r="F575">
        <v>91</v>
      </c>
      <c r="G575" t="s">
        <v>535</v>
      </c>
      <c r="H575" s="26">
        <v>46965</v>
      </c>
      <c r="I575" s="131"/>
      <c r="J575" s="131"/>
      <c r="K575" s="131"/>
      <c r="L575" s="131"/>
      <c r="M575" s="131"/>
      <c r="N575" s="131"/>
      <c r="O575" s="132"/>
      <c r="P575" s="155" t="s">
        <v>539</v>
      </c>
    </row>
    <row r="576" spans="2:16" ht="15" x14ac:dyDescent="0.35">
      <c r="B576" t="str">
        <f t="shared" si="94"/>
        <v>iBoxx MSCI USD High Yield Paris Aligned Capped TCA Index (12/31/2020-11/30/2022 -- pre-trajectory rebase)92</v>
      </c>
      <c r="C576" t="s">
        <v>548</v>
      </c>
      <c r="D576" t="s">
        <v>537</v>
      </c>
      <c r="F576">
        <v>92</v>
      </c>
      <c r="G576" t="s">
        <v>535</v>
      </c>
      <c r="H576" s="26">
        <v>46996</v>
      </c>
      <c r="I576" s="131"/>
      <c r="J576" s="131"/>
      <c r="K576" s="131"/>
      <c r="L576" s="131"/>
      <c r="M576" s="131"/>
      <c r="N576" s="131"/>
      <c r="O576" s="132"/>
      <c r="P576" s="155" t="s">
        <v>539</v>
      </c>
    </row>
    <row r="577" spans="2:16" ht="15" x14ac:dyDescent="0.35">
      <c r="B577" t="str">
        <f t="shared" si="94"/>
        <v>iBoxx MSCI USD High Yield Paris Aligned Capped TCA Index (12/31/2020-11/30/2022 -- pre-trajectory rebase)93</v>
      </c>
      <c r="C577" t="s">
        <v>548</v>
      </c>
      <c r="D577" t="s">
        <v>537</v>
      </c>
      <c r="F577">
        <v>93</v>
      </c>
      <c r="G577" t="s">
        <v>535</v>
      </c>
      <c r="H577" s="26">
        <v>47026</v>
      </c>
      <c r="I577" s="131"/>
      <c r="J577" s="131"/>
      <c r="K577" s="131"/>
      <c r="L577" s="131"/>
      <c r="M577" s="131"/>
      <c r="N577" s="131"/>
      <c r="O577" s="132"/>
      <c r="P577" s="155" t="s">
        <v>539</v>
      </c>
    </row>
    <row r="578" spans="2:16" ht="15" x14ac:dyDescent="0.35">
      <c r="B578" t="str">
        <f t="shared" si="94"/>
        <v>iBoxx MSCI USD High Yield Paris Aligned Capped TCA Index (12/31/2020-11/30/2022 -- pre-trajectory rebase)94</v>
      </c>
      <c r="C578" t="s">
        <v>548</v>
      </c>
      <c r="D578" t="s">
        <v>537</v>
      </c>
      <c r="F578">
        <v>94</v>
      </c>
      <c r="G578" t="s">
        <v>535</v>
      </c>
      <c r="H578" s="26">
        <v>47057</v>
      </c>
      <c r="I578" s="131"/>
      <c r="J578" s="131"/>
      <c r="K578" s="131"/>
      <c r="L578" s="131"/>
      <c r="M578" s="131"/>
      <c r="N578" s="131"/>
      <c r="O578" s="132"/>
      <c r="P578" s="155" t="s">
        <v>539</v>
      </c>
    </row>
    <row r="579" spans="2:16" ht="15" x14ac:dyDescent="0.35">
      <c r="B579" t="str">
        <f t="shared" si="94"/>
        <v>iBoxx MSCI USD High Yield Paris Aligned Capped TCA Index (12/31/2020-11/30/2022 -- pre-trajectory rebase)95</v>
      </c>
      <c r="C579" t="s">
        <v>548</v>
      </c>
      <c r="D579" t="s">
        <v>537</v>
      </c>
      <c r="F579">
        <v>95</v>
      </c>
      <c r="G579" t="s">
        <v>535</v>
      </c>
      <c r="H579" s="26">
        <v>47087</v>
      </c>
      <c r="I579" s="131"/>
      <c r="J579" s="131"/>
      <c r="K579" s="131"/>
      <c r="L579" s="131"/>
      <c r="M579" s="131"/>
      <c r="N579" s="131"/>
      <c r="O579" s="132"/>
      <c r="P579" s="155" t="s">
        <v>539</v>
      </c>
    </row>
    <row r="580" spans="2:16" ht="15" x14ac:dyDescent="0.35">
      <c r="B580" t="str">
        <f t="shared" si="94"/>
        <v>iBoxx MSCI USD High Yield Paris Aligned Capped TCA Index (12/31/2020-11/30/2022 -- pre-trajectory rebase)96</v>
      </c>
      <c r="C580" t="s">
        <v>548</v>
      </c>
      <c r="D580" t="s">
        <v>537</v>
      </c>
      <c r="F580">
        <v>96</v>
      </c>
      <c r="G580" t="s">
        <v>535</v>
      </c>
      <c r="H580" s="26">
        <v>47118</v>
      </c>
      <c r="I580" s="131"/>
      <c r="J580" s="131"/>
      <c r="K580" s="131"/>
      <c r="L580" s="131"/>
      <c r="M580" s="131"/>
      <c r="N580" s="131"/>
      <c r="O580" s="132"/>
      <c r="P580" s="155" t="s">
        <v>539</v>
      </c>
    </row>
    <row r="581" spans="2:16" ht="15" x14ac:dyDescent="0.35">
      <c r="B581" t="str">
        <f t="shared" si="94"/>
        <v>iBoxx MSCI USD High Yield Paris Aligned Capped TCA Index (12/31/2020-11/30/2022 -- pre-trajectory rebase)97</v>
      </c>
      <c r="C581" t="s">
        <v>548</v>
      </c>
      <c r="D581" t="s">
        <v>537</v>
      </c>
      <c r="F581">
        <v>97</v>
      </c>
      <c r="G581" t="s">
        <v>535</v>
      </c>
      <c r="H581" s="26">
        <v>47149</v>
      </c>
      <c r="I581" s="131"/>
      <c r="J581" s="131"/>
      <c r="K581" s="131"/>
      <c r="L581" s="131"/>
      <c r="M581" s="131"/>
      <c r="N581" s="131"/>
      <c r="O581" s="132"/>
      <c r="P581" s="155" t="s">
        <v>539</v>
      </c>
    </row>
    <row r="582" spans="2:16" ht="15" x14ac:dyDescent="0.35">
      <c r="B582" t="str">
        <f t="shared" si="94"/>
        <v>iBoxx MSCI USD High Yield Paris Aligned Capped TCA Index (12/31/2020-11/30/2022 -- pre-trajectory rebase)98</v>
      </c>
      <c r="C582" t="s">
        <v>548</v>
      </c>
      <c r="D582" t="s">
        <v>537</v>
      </c>
      <c r="F582">
        <v>98</v>
      </c>
      <c r="G582" t="s">
        <v>535</v>
      </c>
      <c r="H582" s="26">
        <v>47177</v>
      </c>
      <c r="I582" s="131"/>
      <c r="J582" s="131"/>
      <c r="K582" s="131"/>
      <c r="L582" s="131"/>
      <c r="M582" s="131"/>
      <c r="N582" s="131"/>
      <c r="O582" s="132"/>
      <c r="P582" s="155" t="s">
        <v>539</v>
      </c>
    </row>
    <row r="583" spans="2:16" ht="15" x14ac:dyDescent="0.35">
      <c r="B583" t="str">
        <f t="shared" si="94"/>
        <v>iBoxx MSCI USD High Yield Paris Aligned Capped TCA Index (12/31/2020-11/30/2022 -- pre-trajectory rebase)99</v>
      </c>
      <c r="C583" t="s">
        <v>548</v>
      </c>
      <c r="D583" t="s">
        <v>537</v>
      </c>
      <c r="F583">
        <v>99</v>
      </c>
      <c r="G583" t="s">
        <v>535</v>
      </c>
      <c r="H583" s="26">
        <v>47208</v>
      </c>
      <c r="I583" s="131"/>
      <c r="J583" s="131"/>
      <c r="K583" s="131"/>
      <c r="L583" s="131"/>
      <c r="M583" s="131"/>
      <c r="N583" s="131"/>
      <c r="O583" s="132"/>
      <c r="P583" s="155" t="s">
        <v>539</v>
      </c>
    </row>
    <row r="584" spans="2:16" ht="15" x14ac:dyDescent="0.35">
      <c r="B584" t="str">
        <f t="shared" si="94"/>
        <v>iBoxx MSCI USD High Yield Paris Aligned Capped TCA Index (12/31/2020-11/30/2022 -- pre-trajectory rebase)100</v>
      </c>
      <c r="C584" t="s">
        <v>548</v>
      </c>
      <c r="D584" t="s">
        <v>537</v>
      </c>
      <c r="F584">
        <v>100</v>
      </c>
      <c r="G584" t="s">
        <v>535</v>
      </c>
      <c r="H584" s="26">
        <v>47238</v>
      </c>
      <c r="I584" s="131"/>
      <c r="J584" s="131"/>
      <c r="K584" s="131"/>
      <c r="L584" s="131"/>
      <c r="M584" s="131"/>
      <c r="N584" s="131"/>
      <c r="O584" s="132"/>
      <c r="P584" s="155" t="s">
        <v>539</v>
      </c>
    </row>
    <row r="585" spans="2:16" ht="15" x14ac:dyDescent="0.35">
      <c r="B585" t="str">
        <f t="shared" si="94"/>
        <v>iBoxx MSCI USD High Yield Paris Aligned Capped TCA Index (12/31/2020-11/30/2022 -- pre-trajectory rebase)101</v>
      </c>
      <c r="C585" t="s">
        <v>548</v>
      </c>
      <c r="D585" t="s">
        <v>537</v>
      </c>
      <c r="F585">
        <v>101</v>
      </c>
      <c r="G585" t="s">
        <v>535</v>
      </c>
      <c r="H585" s="26">
        <v>47269</v>
      </c>
      <c r="I585" s="131"/>
      <c r="J585" s="131"/>
      <c r="K585" s="131"/>
      <c r="L585" s="131"/>
      <c r="M585" s="131"/>
      <c r="N585" s="131"/>
      <c r="O585" s="132"/>
      <c r="P585" s="155" t="s">
        <v>539</v>
      </c>
    </row>
    <row r="586" spans="2:16" ht="15" x14ac:dyDescent="0.35">
      <c r="B586" t="str">
        <f t="shared" si="94"/>
        <v>iBoxx MSCI USD High Yield Paris Aligned Capped TCA Index (12/31/2020-11/30/2022 -- pre-trajectory rebase)102</v>
      </c>
      <c r="C586" t="s">
        <v>548</v>
      </c>
      <c r="D586" t="s">
        <v>537</v>
      </c>
      <c r="F586">
        <v>102</v>
      </c>
      <c r="G586" t="s">
        <v>535</v>
      </c>
      <c r="H586" s="26">
        <v>47299</v>
      </c>
      <c r="I586" s="131"/>
      <c r="J586" s="131"/>
      <c r="K586" s="131"/>
      <c r="L586" s="131"/>
      <c r="M586" s="131"/>
      <c r="N586" s="131"/>
      <c r="O586" s="132"/>
      <c r="P586" s="155" t="s">
        <v>539</v>
      </c>
    </row>
    <row r="587" spans="2:16" ht="15" x14ac:dyDescent="0.35">
      <c r="B587" t="str">
        <f t="shared" si="94"/>
        <v>iBoxx MSCI USD High Yield Paris Aligned Capped TCA Index (12/31/2020-11/30/2022 -- pre-trajectory rebase)103</v>
      </c>
      <c r="C587" t="s">
        <v>548</v>
      </c>
      <c r="D587" t="s">
        <v>537</v>
      </c>
      <c r="F587">
        <v>103</v>
      </c>
      <c r="G587" t="s">
        <v>535</v>
      </c>
      <c r="H587" s="26">
        <v>47330</v>
      </c>
      <c r="I587" s="131"/>
      <c r="J587" s="131"/>
      <c r="K587" s="131"/>
      <c r="L587" s="131"/>
      <c r="M587" s="131"/>
      <c r="N587" s="131"/>
      <c r="O587" s="132"/>
      <c r="P587" s="155" t="s">
        <v>539</v>
      </c>
    </row>
    <row r="588" spans="2:16" ht="15" x14ac:dyDescent="0.35">
      <c r="B588" t="str">
        <f t="shared" si="94"/>
        <v>iBoxx MSCI USD High Yield Paris Aligned Capped TCA Index (12/31/2020-11/30/2022 -- pre-trajectory rebase)104</v>
      </c>
      <c r="C588" t="s">
        <v>548</v>
      </c>
      <c r="D588" t="s">
        <v>537</v>
      </c>
      <c r="F588">
        <v>104</v>
      </c>
      <c r="G588" t="s">
        <v>535</v>
      </c>
      <c r="H588" s="26">
        <v>47361</v>
      </c>
      <c r="I588" s="131"/>
      <c r="J588" s="131"/>
      <c r="K588" s="131"/>
      <c r="L588" s="131"/>
      <c r="M588" s="131"/>
      <c r="N588" s="131"/>
      <c r="O588" s="132"/>
      <c r="P588" s="155" t="s">
        <v>539</v>
      </c>
    </row>
    <row r="589" spans="2:16" ht="15" x14ac:dyDescent="0.35">
      <c r="B589" t="str">
        <f t="shared" si="94"/>
        <v>iBoxx MSCI USD High Yield Paris Aligned Capped TCA Index (12/31/2020-11/30/2022 -- pre-trajectory rebase)105</v>
      </c>
      <c r="C589" t="s">
        <v>548</v>
      </c>
      <c r="D589" t="s">
        <v>537</v>
      </c>
      <c r="F589">
        <v>105</v>
      </c>
      <c r="G589" t="s">
        <v>535</v>
      </c>
      <c r="H589" s="26">
        <v>47391</v>
      </c>
      <c r="I589" s="131"/>
      <c r="J589" s="131"/>
      <c r="K589" s="131"/>
      <c r="L589" s="131"/>
      <c r="M589" s="131"/>
      <c r="N589" s="131"/>
      <c r="O589" s="132"/>
      <c r="P589" s="155" t="s">
        <v>539</v>
      </c>
    </row>
    <row r="590" spans="2:16" ht="15" x14ac:dyDescent="0.35">
      <c r="B590" t="str">
        <f t="shared" si="94"/>
        <v>iBoxx MSCI USD High Yield Paris Aligned Capped TCA Index (12/31/2020-11/30/2022 -- pre-trajectory rebase)106</v>
      </c>
      <c r="C590" t="s">
        <v>548</v>
      </c>
      <c r="D590" t="s">
        <v>537</v>
      </c>
      <c r="F590">
        <v>106</v>
      </c>
      <c r="G590" t="s">
        <v>535</v>
      </c>
      <c r="H590" s="26">
        <v>47422</v>
      </c>
      <c r="I590" s="131"/>
      <c r="J590" s="131"/>
      <c r="K590" s="131"/>
      <c r="L590" s="131"/>
      <c r="M590" s="131"/>
      <c r="N590" s="131"/>
      <c r="O590" s="132"/>
      <c r="P590" s="155" t="s">
        <v>539</v>
      </c>
    </row>
    <row r="591" spans="2:16" ht="15" x14ac:dyDescent="0.35">
      <c r="B591" t="str">
        <f t="shared" si="94"/>
        <v>iBoxx MSCI USD High Yield Paris Aligned Capped TCA Index (12/31/2020-11/30/2022 -- pre-trajectory rebase)107</v>
      </c>
      <c r="C591" t="s">
        <v>548</v>
      </c>
      <c r="D591" t="s">
        <v>537</v>
      </c>
      <c r="F591">
        <v>107</v>
      </c>
      <c r="G591" t="s">
        <v>535</v>
      </c>
      <c r="H591" s="26">
        <v>47452</v>
      </c>
      <c r="I591" s="131"/>
      <c r="J591" s="131"/>
      <c r="K591" s="131"/>
      <c r="L591" s="131"/>
      <c r="M591" s="131"/>
      <c r="N591" s="131"/>
      <c r="O591" s="132"/>
      <c r="P591" s="155" t="s">
        <v>539</v>
      </c>
    </row>
    <row r="592" spans="2:16" ht="15" x14ac:dyDescent="0.35">
      <c r="B592" t="str">
        <f t="shared" si="94"/>
        <v>iBoxx MSCI USD High Yield Paris Aligned Capped TCA Index (12/31/2020-11/30/2022 -- pre-trajectory rebase)108</v>
      </c>
      <c r="C592" t="s">
        <v>548</v>
      </c>
      <c r="D592" t="s">
        <v>537</v>
      </c>
      <c r="F592">
        <v>108</v>
      </c>
      <c r="G592" t="s">
        <v>535</v>
      </c>
      <c r="H592" s="26">
        <v>47483</v>
      </c>
      <c r="I592" s="131"/>
      <c r="J592" s="131"/>
      <c r="K592" s="131"/>
      <c r="L592" s="131"/>
      <c r="M592" s="131"/>
      <c r="N592" s="131"/>
      <c r="O592" s="132"/>
      <c r="P592" s="155" t="s">
        <v>539</v>
      </c>
    </row>
    <row r="593" spans="2:17" ht="15" x14ac:dyDescent="0.35">
      <c r="B593" t="str">
        <f t="shared" si="94"/>
        <v>iBoxx MSCI USD High Yield Paris Aligned Capped TCA Index (12/31/2020-11/30/2022 -- pre-trajectory rebase)109</v>
      </c>
      <c r="C593" t="s">
        <v>548</v>
      </c>
      <c r="D593" t="s">
        <v>537</v>
      </c>
      <c r="F593">
        <v>109</v>
      </c>
      <c r="G593" t="s">
        <v>535</v>
      </c>
      <c r="H593" s="26">
        <v>47514</v>
      </c>
      <c r="I593" s="131"/>
      <c r="J593" s="131"/>
      <c r="K593" s="131"/>
      <c r="L593" s="131"/>
      <c r="M593" s="131"/>
      <c r="N593" s="131"/>
      <c r="O593" s="132"/>
      <c r="P593" s="155" t="s">
        <v>539</v>
      </c>
    </row>
    <row r="594" spans="2:17" ht="15" x14ac:dyDescent="0.35">
      <c r="B594" t="str">
        <f t="shared" si="94"/>
        <v>iBoxx MSCI USD High Yield Paris Aligned Capped TCA Index (12/31/2020-11/30/2022 -- pre-trajectory rebase)110</v>
      </c>
      <c r="C594" t="s">
        <v>548</v>
      </c>
      <c r="D594" t="s">
        <v>537</v>
      </c>
      <c r="F594">
        <v>110</v>
      </c>
      <c r="G594" t="s">
        <v>535</v>
      </c>
      <c r="H594" s="26">
        <v>47542</v>
      </c>
      <c r="I594" s="131"/>
      <c r="J594" s="131"/>
      <c r="K594" s="131"/>
      <c r="L594" s="131"/>
      <c r="M594" s="131"/>
      <c r="N594" s="131"/>
      <c r="O594" s="132"/>
      <c r="P594" s="155" t="s">
        <v>539</v>
      </c>
    </row>
    <row r="595" spans="2:17" ht="15" x14ac:dyDescent="0.35">
      <c r="B595" t="str">
        <f t="shared" si="94"/>
        <v>iBoxx MSCI USD High Yield Paris Aligned Capped TCA Index (12/31/2020-11/30/2022 -- pre-trajectory rebase)111</v>
      </c>
      <c r="C595" t="s">
        <v>548</v>
      </c>
      <c r="D595" t="s">
        <v>537</v>
      </c>
      <c r="F595">
        <v>111</v>
      </c>
      <c r="G595" t="s">
        <v>535</v>
      </c>
      <c r="H595" s="26">
        <v>47573</v>
      </c>
      <c r="I595" s="131"/>
      <c r="J595" s="131"/>
      <c r="K595" s="131"/>
      <c r="L595" s="131"/>
      <c r="M595" s="131"/>
      <c r="N595" s="131"/>
      <c r="O595" s="132"/>
      <c r="P595" s="155" t="s">
        <v>539</v>
      </c>
    </row>
    <row r="596" spans="2:17" ht="15" x14ac:dyDescent="0.35">
      <c r="B596" t="str">
        <f t="shared" si="94"/>
        <v>iBoxx MSCI USD High Yield Paris Aligned Capped TCA Index (12/31/2020-11/30/2022 -- pre-trajectory rebase)112</v>
      </c>
      <c r="C596" t="s">
        <v>548</v>
      </c>
      <c r="D596" t="s">
        <v>537</v>
      </c>
      <c r="F596">
        <v>112</v>
      </c>
      <c r="G596" t="s">
        <v>535</v>
      </c>
      <c r="H596" s="26">
        <v>47603</v>
      </c>
      <c r="I596" s="131"/>
      <c r="J596" s="131"/>
      <c r="K596" s="131"/>
      <c r="L596" s="131"/>
      <c r="M596" s="131"/>
      <c r="N596" s="131"/>
      <c r="O596" s="132"/>
      <c r="P596" s="155" t="s">
        <v>539</v>
      </c>
    </row>
    <row r="597" spans="2:17" ht="15" x14ac:dyDescent="0.35">
      <c r="B597" t="str">
        <f t="shared" si="94"/>
        <v>iBoxx MSCI USD High Yield Paris Aligned Capped TCA Index (12/31/2020-11/30/2022 -- pre-trajectory rebase)113</v>
      </c>
      <c r="C597" t="s">
        <v>548</v>
      </c>
      <c r="D597" t="s">
        <v>537</v>
      </c>
      <c r="F597">
        <v>113</v>
      </c>
      <c r="G597" t="s">
        <v>535</v>
      </c>
      <c r="H597" s="26">
        <v>47634</v>
      </c>
      <c r="I597" s="131"/>
      <c r="J597" s="131"/>
      <c r="K597" s="131"/>
      <c r="L597" s="131"/>
      <c r="M597" s="131"/>
      <c r="N597" s="131"/>
      <c r="O597" s="132"/>
      <c r="P597" s="155" t="s">
        <v>539</v>
      </c>
    </row>
    <row r="598" spans="2:17" ht="15" x14ac:dyDescent="0.35">
      <c r="B598" t="str">
        <f t="shared" si="94"/>
        <v>iBoxx MSCI USD High Yield Paris Aligned Capped TCA Index (12/31/2020-11/30/2022 -- pre-trajectory rebase)114</v>
      </c>
      <c r="C598" t="s">
        <v>548</v>
      </c>
      <c r="D598" t="s">
        <v>537</v>
      </c>
      <c r="F598">
        <v>114</v>
      </c>
      <c r="G598" t="s">
        <v>535</v>
      </c>
      <c r="H598" s="26">
        <v>47664</v>
      </c>
      <c r="I598" s="131"/>
      <c r="J598" s="131"/>
      <c r="K598" s="131"/>
      <c r="L598" s="131"/>
      <c r="M598" s="131"/>
      <c r="N598" s="131"/>
      <c r="O598" s="132"/>
      <c r="P598" s="155" t="s">
        <v>539</v>
      </c>
    </row>
    <row r="599" spans="2:17" ht="15" x14ac:dyDescent="0.35">
      <c r="B599" t="str">
        <f t="shared" si="94"/>
        <v>iBoxx MSCI USD High Yield Paris Aligned Capped TCA Index (12/31/2020-11/30/2022 -- pre-trajectory rebase)115</v>
      </c>
      <c r="C599" t="s">
        <v>548</v>
      </c>
      <c r="D599" t="s">
        <v>537</v>
      </c>
      <c r="F599">
        <v>115</v>
      </c>
      <c r="G599" t="s">
        <v>535</v>
      </c>
      <c r="H599" s="26">
        <v>47695</v>
      </c>
      <c r="I599" s="131"/>
      <c r="J599" s="131"/>
      <c r="K599" s="131"/>
      <c r="L599" s="131"/>
      <c r="M599" s="131"/>
      <c r="N599" s="131"/>
      <c r="O599" s="132"/>
      <c r="P599" s="155" t="s">
        <v>539</v>
      </c>
    </row>
    <row r="600" spans="2:17" ht="15" x14ac:dyDescent="0.35">
      <c r="B600" t="str">
        <f t="shared" si="94"/>
        <v>iBoxx MSCI USD High Yield Paris Aligned Capped TCA Index (12/31/2020-11/30/2022 -- pre-trajectory rebase)116</v>
      </c>
      <c r="C600" t="s">
        <v>548</v>
      </c>
      <c r="D600" t="s">
        <v>537</v>
      </c>
      <c r="F600">
        <v>116</v>
      </c>
      <c r="G600" t="s">
        <v>535</v>
      </c>
      <c r="H600" s="26">
        <v>47726</v>
      </c>
      <c r="I600" s="131"/>
      <c r="J600" s="131"/>
      <c r="K600" s="131"/>
      <c r="L600" s="131"/>
      <c r="M600" s="131"/>
      <c r="N600" s="131"/>
      <c r="O600" s="132"/>
      <c r="P600" s="155" t="s">
        <v>539</v>
      </c>
    </row>
    <row r="601" spans="2:17" ht="15" x14ac:dyDescent="0.35">
      <c r="B601" t="str">
        <f t="shared" si="94"/>
        <v>iBoxx MSCI USD High Yield Paris Aligned Capped TCA Index (12/31/2020-11/30/2022 -- pre-trajectory rebase)117</v>
      </c>
      <c r="C601" t="s">
        <v>548</v>
      </c>
      <c r="D601" t="s">
        <v>537</v>
      </c>
      <c r="F601">
        <v>117</v>
      </c>
      <c r="G601" t="s">
        <v>535</v>
      </c>
      <c r="H601" s="26">
        <v>47756</v>
      </c>
      <c r="I601" s="131"/>
      <c r="J601" s="131"/>
      <c r="K601" s="131"/>
      <c r="L601" s="131"/>
      <c r="M601" s="131"/>
      <c r="N601" s="131"/>
      <c r="O601" s="132"/>
      <c r="P601" s="155" t="s">
        <v>539</v>
      </c>
    </row>
    <row r="602" spans="2:17" ht="15" x14ac:dyDescent="0.35">
      <c r="B602" t="str">
        <f t="shared" si="94"/>
        <v>iBoxx MSCI USD High Yield Paris Aligned Capped TCA Index (12/31/2020-11/30/2022 -- pre-trajectory rebase)118</v>
      </c>
      <c r="C602" t="s">
        <v>548</v>
      </c>
      <c r="D602" t="s">
        <v>537</v>
      </c>
      <c r="F602">
        <v>118</v>
      </c>
      <c r="G602" t="s">
        <v>535</v>
      </c>
      <c r="H602" s="26">
        <v>47787</v>
      </c>
      <c r="I602" s="131"/>
      <c r="J602" s="131"/>
      <c r="K602" s="131"/>
      <c r="L602" s="131"/>
      <c r="M602" s="131"/>
      <c r="N602" s="131"/>
      <c r="O602" s="132"/>
      <c r="P602" s="155" t="s">
        <v>539</v>
      </c>
    </row>
    <row r="603" spans="2:17" ht="15" x14ac:dyDescent="0.35">
      <c r="B603" t="str">
        <f t="shared" si="94"/>
        <v>iBoxx MSCI USD High Yield Paris Aligned Capped TCA Index (12/31/2020-11/30/2022 -- pre-trajectory rebase)119</v>
      </c>
      <c r="C603" t="s">
        <v>548</v>
      </c>
      <c r="D603" t="s">
        <v>537</v>
      </c>
      <c r="F603">
        <v>119</v>
      </c>
      <c r="G603" t="s">
        <v>535</v>
      </c>
      <c r="H603" s="26">
        <v>47817</v>
      </c>
      <c r="I603" s="131"/>
      <c r="J603" s="131"/>
      <c r="K603" s="131"/>
      <c r="L603" s="131"/>
      <c r="M603" s="131"/>
      <c r="N603" s="131"/>
      <c r="O603" s="132"/>
      <c r="P603" s="155" t="s">
        <v>539</v>
      </c>
    </row>
    <row r="604" spans="2:17" ht="15" x14ac:dyDescent="0.35">
      <c r="B604" t="str">
        <f t="shared" si="94"/>
        <v>iBoxx MSCI EUR High Yield Paris Aligned Capped TCA Index (12/31/2020-11/30/2022 -- pre-trajectory rebase)0</v>
      </c>
      <c r="C604" t="s">
        <v>551</v>
      </c>
      <c r="D604" t="s">
        <v>238</v>
      </c>
      <c r="E604" t="s">
        <v>541</v>
      </c>
      <c r="F604">
        <v>0</v>
      </c>
      <c r="G604" t="s">
        <v>535</v>
      </c>
      <c r="H604" s="26">
        <v>44196</v>
      </c>
      <c r="I604" s="129">
        <v>41422240.225901</v>
      </c>
      <c r="J604" s="33">
        <f>IF(G604="PA",I604*0.5,IF(G604="CT",I604*0.7,""))</f>
        <v>20711120.1129505</v>
      </c>
      <c r="K604" s="33">
        <f>VLOOKUP(C604,$C:$K,8,FALSE)*0.93^(F604/12)</f>
        <v>20711120.1129505</v>
      </c>
      <c r="L604" s="33">
        <f>MIN(J604,K604)</f>
        <v>20711120.1129505</v>
      </c>
      <c r="M604" s="33">
        <f t="shared" ref="M604" si="95">L604*0.975</f>
        <v>20193342.110126738</v>
      </c>
      <c r="N604" s="133">
        <v>2114940.6642797301</v>
      </c>
      <c r="O604" s="40">
        <v>0.40204617599999998</v>
      </c>
      <c r="P604" s="155" t="s">
        <v>542</v>
      </c>
      <c r="Q604" t="s">
        <v>549</v>
      </c>
    </row>
    <row r="605" spans="2:17" ht="15" x14ac:dyDescent="0.35">
      <c r="B605" t="str">
        <f t="shared" ref="B605:B668" si="96">_xlfn.CONCAT(C605,F605)</f>
        <v>iBoxx MSCI EUR High Yield Paris Aligned Capped TCA Index (12/31/2020-11/30/2022 -- pre-trajectory rebase)1</v>
      </c>
      <c r="C605" t="s">
        <v>551</v>
      </c>
      <c r="D605" t="s">
        <v>238</v>
      </c>
      <c r="E605" t="s">
        <v>541</v>
      </c>
      <c r="F605">
        <v>1</v>
      </c>
      <c r="G605" t="s">
        <v>535</v>
      </c>
      <c r="H605" s="26">
        <v>44227</v>
      </c>
      <c r="I605" s="129">
        <v>41539378.857176498</v>
      </c>
      <c r="J605" s="33">
        <f t="shared" ref="J605:J627" si="97">IF(G605="PA",I605*0.5,IF(G605="CT",I605*0.7,""))</f>
        <v>20769689.428588249</v>
      </c>
      <c r="K605" s="33">
        <f t="shared" ref="K605:K627" si="98">VLOOKUP(C605,$C:$K,8,FALSE)*0.93^(F605/12)</f>
        <v>20586246.389394965</v>
      </c>
      <c r="L605" s="33">
        <f t="shared" ref="L605:L627" si="99">MIN(J605,K605)</f>
        <v>20586246.389394965</v>
      </c>
      <c r="M605" s="33">
        <f t="shared" ref="M605:M627" si="100">L605*0.975</f>
        <v>20071590.22966009</v>
      </c>
      <c r="N605" s="133">
        <v>2049634.3095022121</v>
      </c>
      <c r="O605" s="40">
        <v>0.39634425200000001</v>
      </c>
      <c r="P605" s="155" t="s">
        <v>542</v>
      </c>
      <c r="Q605" t="s">
        <v>549</v>
      </c>
    </row>
    <row r="606" spans="2:17" ht="15" x14ac:dyDescent="0.35">
      <c r="B606" t="str">
        <f t="shared" si="96"/>
        <v>iBoxx MSCI EUR High Yield Paris Aligned Capped TCA Index (12/31/2020-11/30/2022 -- pre-trajectory rebase)2</v>
      </c>
      <c r="C606" t="s">
        <v>551</v>
      </c>
      <c r="D606" t="s">
        <v>238</v>
      </c>
      <c r="E606" t="s">
        <v>541</v>
      </c>
      <c r="F606">
        <v>2</v>
      </c>
      <c r="G606" t="s">
        <v>535</v>
      </c>
      <c r="H606" s="26">
        <v>44255</v>
      </c>
      <c r="I606" s="129">
        <v>42299674.3884781</v>
      </c>
      <c r="J606" s="33">
        <f t="shared" si="97"/>
        <v>21149837.19423905</v>
      </c>
      <c r="K606" s="33">
        <f t="shared" si="98"/>
        <v>20462125.567988109</v>
      </c>
      <c r="L606" s="33">
        <f t="shared" si="99"/>
        <v>20462125.567988109</v>
      </c>
      <c r="M606" s="33">
        <f t="shared" si="100"/>
        <v>19950572.428788405</v>
      </c>
      <c r="N606" s="133">
        <v>2037276.432909149</v>
      </c>
      <c r="O606" s="40">
        <v>0.39598647399999998</v>
      </c>
      <c r="P606" s="155" t="s">
        <v>542</v>
      </c>
      <c r="Q606" t="s">
        <v>549</v>
      </c>
    </row>
    <row r="607" spans="2:17" ht="15" x14ac:dyDescent="0.35">
      <c r="B607" t="str">
        <f t="shared" si="96"/>
        <v>iBoxx MSCI EUR High Yield Paris Aligned Capped TCA Index (12/31/2020-11/30/2022 -- pre-trajectory rebase)3</v>
      </c>
      <c r="C607" t="s">
        <v>551</v>
      </c>
      <c r="D607" t="s">
        <v>238</v>
      </c>
      <c r="E607" t="s">
        <v>541</v>
      </c>
      <c r="F607">
        <v>3</v>
      </c>
      <c r="G607" t="s">
        <v>535</v>
      </c>
      <c r="H607" s="26">
        <v>44286</v>
      </c>
      <c r="I607" s="129">
        <v>40860627.3602871</v>
      </c>
      <c r="J607" s="33">
        <f t="shared" si="97"/>
        <v>20430313.68014355</v>
      </c>
      <c r="K607" s="33">
        <f t="shared" si="98"/>
        <v>20338753.109250937</v>
      </c>
      <c r="L607" s="33">
        <f t="shared" si="99"/>
        <v>20338753.109250937</v>
      </c>
      <c r="M607" s="33">
        <f t="shared" si="100"/>
        <v>19830284.281519663</v>
      </c>
      <c r="N607" s="133">
        <v>2024993.0656804121</v>
      </c>
      <c r="O607" s="40">
        <v>0.39698517300000002</v>
      </c>
      <c r="P607" s="155" t="s">
        <v>542</v>
      </c>
      <c r="Q607" t="s">
        <v>549</v>
      </c>
    </row>
    <row r="608" spans="2:17" ht="15" x14ac:dyDescent="0.35">
      <c r="B608" t="str">
        <f t="shared" si="96"/>
        <v>iBoxx MSCI EUR High Yield Paris Aligned Capped TCA Index (12/31/2020-11/30/2022 -- pre-trajectory rebase)4</v>
      </c>
      <c r="C608" t="s">
        <v>551</v>
      </c>
      <c r="D608" t="s">
        <v>238</v>
      </c>
      <c r="E608" t="s">
        <v>541</v>
      </c>
      <c r="F608">
        <v>4</v>
      </c>
      <c r="G608" t="s">
        <v>535</v>
      </c>
      <c r="H608" s="26">
        <v>44316</v>
      </c>
      <c r="I608" s="129">
        <v>41596896.028192297</v>
      </c>
      <c r="J608" s="33">
        <f t="shared" si="97"/>
        <v>20798448.014096148</v>
      </c>
      <c r="K608" s="33">
        <f t="shared" si="98"/>
        <v>20216124.501074366</v>
      </c>
      <c r="L608" s="33">
        <f t="shared" si="99"/>
        <v>20216124.501074366</v>
      </c>
      <c r="M608" s="33">
        <f t="shared" si="100"/>
        <v>19710721.388547506</v>
      </c>
      <c r="N608" s="133">
        <v>2012783.7586554959</v>
      </c>
      <c r="O608" s="40">
        <v>0.40653348299999997</v>
      </c>
      <c r="P608" s="155" t="s">
        <v>542</v>
      </c>
      <c r="Q608" t="s">
        <v>549</v>
      </c>
    </row>
    <row r="609" spans="2:17" ht="15" x14ac:dyDescent="0.35">
      <c r="B609" t="str">
        <f t="shared" si="96"/>
        <v>iBoxx MSCI EUR High Yield Paris Aligned Capped TCA Index (12/31/2020-11/30/2022 -- pre-trajectory rebase)5</v>
      </c>
      <c r="C609" t="s">
        <v>551</v>
      </c>
      <c r="D609" t="s">
        <v>238</v>
      </c>
      <c r="E609" t="s">
        <v>541</v>
      </c>
      <c r="F609">
        <v>5</v>
      </c>
      <c r="G609" t="s">
        <v>535</v>
      </c>
      <c r="H609" s="26">
        <v>44347</v>
      </c>
      <c r="I609" s="129">
        <v>41041926.962582096</v>
      </c>
      <c r="J609" s="33">
        <f t="shared" si="97"/>
        <v>20520963.481291048</v>
      </c>
      <c r="K609" s="33">
        <f t="shared" si="98"/>
        <v>20094235.258554213</v>
      </c>
      <c r="L609" s="33">
        <f t="shared" si="99"/>
        <v>20094235.258554213</v>
      </c>
      <c r="M609" s="33">
        <f t="shared" si="100"/>
        <v>19591879.377090357</v>
      </c>
      <c r="N609" s="133">
        <v>2000648.0653041089</v>
      </c>
      <c r="O609" s="40">
        <v>0.40864399099999998</v>
      </c>
      <c r="P609" s="155" t="s">
        <v>542</v>
      </c>
      <c r="Q609" t="s">
        <v>549</v>
      </c>
    </row>
    <row r="610" spans="2:17" ht="15" x14ac:dyDescent="0.35">
      <c r="B610" t="str">
        <f t="shared" si="96"/>
        <v>iBoxx MSCI EUR High Yield Paris Aligned Capped TCA Index (12/31/2020-11/30/2022 -- pre-trajectory rebase)6</v>
      </c>
      <c r="C610" t="s">
        <v>551</v>
      </c>
      <c r="D610" t="s">
        <v>238</v>
      </c>
      <c r="E610" t="s">
        <v>541</v>
      </c>
      <c r="F610">
        <v>6</v>
      </c>
      <c r="G610" t="s">
        <v>535</v>
      </c>
      <c r="H610" s="26">
        <v>44377</v>
      </c>
      <c r="I610" s="129">
        <v>38454990.0894688</v>
      </c>
      <c r="J610" s="33">
        <f t="shared" si="97"/>
        <v>19227495.0447344</v>
      </c>
      <c r="K610" s="33">
        <f t="shared" si="98"/>
        <v>19973080.92382716</v>
      </c>
      <c r="L610" s="33">
        <f t="shared" si="99"/>
        <v>19227495.0447344</v>
      </c>
      <c r="M610" s="33">
        <f t="shared" si="100"/>
        <v>18746807.668616038</v>
      </c>
      <c r="N610" s="133">
        <v>1988585.5417864979</v>
      </c>
      <c r="O610" s="40">
        <v>0.41972863500000002</v>
      </c>
      <c r="P610" s="155" t="s">
        <v>542</v>
      </c>
      <c r="Q610" t="s">
        <v>549</v>
      </c>
    </row>
    <row r="611" spans="2:17" ht="15" x14ac:dyDescent="0.35">
      <c r="B611" t="str">
        <f t="shared" si="96"/>
        <v>iBoxx MSCI EUR High Yield Paris Aligned Capped TCA Index (12/31/2020-11/30/2022 -- pre-trajectory rebase)7</v>
      </c>
      <c r="C611" t="s">
        <v>551</v>
      </c>
      <c r="D611" t="s">
        <v>238</v>
      </c>
      <c r="E611" t="s">
        <v>541</v>
      </c>
      <c r="F611">
        <v>7</v>
      </c>
      <c r="G611" t="s">
        <v>535</v>
      </c>
      <c r="H611" s="26">
        <v>44408</v>
      </c>
      <c r="I611" s="129">
        <v>39598096.015871599</v>
      </c>
      <c r="J611" s="33">
        <f t="shared" si="97"/>
        <v>19799048.0079358</v>
      </c>
      <c r="K611" s="33">
        <f t="shared" si="98"/>
        <v>19852657.06590772</v>
      </c>
      <c r="L611" s="33">
        <f t="shared" si="99"/>
        <v>19799048.0079358</v>
      </c>
      <c r="M611" s="33">
        <f t="shared" si="100"/>
        <v>19304071.807737403</v>
      </c>
      <c r="N611" s="133">
        <v>1976595.746650018</v>
      </c>
      <c r="O611" s="40">
        <v>0.43045593700000001</v>
      </c>
      <c r="P611" s="155" t="s">
        <v>542</v>
      </c>
      <c r="Q611" t="s">
        <v>549</v>
      </c>
    </row>
    <row r="612" spans="2:17" ht="15" x14ac:dyDescent="0.35">
      <c r="B612" t="str">
        <f t="shared" si="96"/>
        <v>iBoxx MSCI EUR High Yield Paris Aligned Capped TCA Index (12/31/2020-11/30/2022 -- pre-trajectory rebase)8</v>
      </c>
      <c r="C612" t="s">
        <v>551</v>
      </c>
      <c r="D612" t="s">
        <v>238</v>
      </c>
      <c r="E612" t="s">
        <v>541</v>
      </c>
      <c r="F612">
        <v>8</v>
      </c>
      <c r="G612" t="s">
        <v>535</v>
      </c>
      <c r="H612" s="26">
        <v>44439</v>
      </c>
      <c r="I612" s="129">
        <v>40227797.827342801</v>
      </c>
      <c r="J612" s="33">
        <f t="shared" si="97"/>
        <v>20113898.9136714</v>
      </c>
      <c r="K612" s="33">
        <f t="shared" si="98"/>
        <v>19732959.280526195</v>
      </c>
      <c r="L612" s="33">
        <f t="shared" si="99"/>
        <v>19732959.280526195</v>
      </c>
      <c r="M612" s="33">
        <f t="shared" si="100"/>
        <v>19239635.29851304</v>
      </c>
      <c r="N612" s="133">
        <v>1964678.242239191</v>
      </c>
      <c r="O612" s="40">
        <v>0.42867354499999999</v>
      </c>
      <c r="P612" s="155" t="s">
        <v>542</v>
      </c>
      <c r="Q612" t="s">
        <v>549</v>
      </c>
    </row>
    <row r="613" spans="2:17" ht="15" x14ac:dyDescent="0.35">
      <c r="B613" t="str">
        <f t="shared" si="96"/>
        <v>iBoxx MSCI EUR High Yield Paris Aligned Capped TCA Index (12/31/2020-11/30/2022 -- pre-trajectory rebase)9</v>
      </c>
      <c r="C613" t="s">
        <v>551</v>
      </c>
      <c r="D613" t="s">
        <v>238</v>
      </c>
      <c r="E613" t="s">
        <v>541</v>
      </c>
      <c r="F613">
        <v>9</v>
      </c>
      <c r="G613" t="s">
        <v>535</v>
      </c>
      <c r="H613" s="26">
        <v>44469</v>
      </c>
      <c r="I613" s="129">
        <v>42454473.992061198</v>
      </c>
      <c r="J613" s="33">
        <f t="shared" si="97"/>
        <v>21227236.996030599</v>
      </c>
      <c r="K613" s="33">
        <f t="shared" si="98"/>
        <v>19613983.189967562</v>
      </c>
      <c r="L613" s="33">
        <f t="shared" si="99"/>
        <v>19613983.189967562</v>
      </c>
      <c r="M613" s="33">
        <f t="shared" si="100"/>
        <v>19123633.610218372</v>
      </c>
      <c r="N613" s="133">
        <v>1952832.5917927399</v>
      </c>
      <c r="O613" s="40">
        <v>0.43516186600000001</v>
      </c>
      <c r="P613" s="155" t="s">
        <v>542</v>
      </c>
      <c r="Q613" t="s">
        <v>549</v>
      </c>
    </row>
    <row r="614" spans="2:17" ht="15" x14ac:dyDescent="0.35">
      <c r="B614" t="str">
        <f t="shared" si="96"/>
        <v>iBoxx MSCI EUR High Yield Paris Aligned Capped TCA Index (12/31/2020-11/30/2022 -- pre-trajectory rebase)10</v>
      </c>
      <c r="C614" t="s">
        <v>551</v>
      </c>
      <c r="D614" t="s">
        <v>238</v>
      </c>
      <c r="E614" t="s">
        <v>541</v>
      </c>
      <c r="F614">
        <v>10</v>
      </c>
      <c r="G614" t="s">
        <v>535</v>
      </c>
      <c r="H614" s="26">
        <v>44500</v>
      </c>
      <c r="I614" s="129">
        <v>38617615.629501998</v>
      </c>
      <c r="J614" s="33">
        <f t="shared" si="97"/>
        <v>19308807.814750999</v>
      </c>
      <c r="K614" s="33">
        <f t="shared" si="98"/>
        <v>19495724.442911413</v>
      </c>
      <c r="L614" s="33">
        <f t="shared" si="99"/>
        <v>19308807.814750999</v>
      </c>
      <c r="M614" s="33">
        <f t="shared" si="100"/>
        <v>18826087.619382225</v>
      </c>
      <c r="N614" s="133">
        <v>1941058.362500018</v>
      </c>
      <c r="O614" s="40">
        <v>0.45021624300000002</v>
      </c>
      <c r="P614" s="155" t="s">
        <v>542</v>
      </c>
      <c r="Q614" t="s">
        <v>549</v>
      </c>
    </row>
    <row r="615" spans="2:17" ht="15" x14ac:dyDescent="0.35">
      <c r="B615" t="str">
        <f t="shared" si="96"/>
        <v>iBoxx MSCI EUR High Yield Paris Aligned Capped TCA Index (12/31/2020-11/30/2022 -- pre-trajectory rebase)11</v>
      </c>
      <c r="C615" t="s">
        <v>551</v>
      </c>
      <c r="D615" t="s">
        <v>238</v>
      </c>
      <c r="E615" t="s">
        <v>541</v>
      </c>
      <c r="F615">
        <v>11</v>
      </c>
      <c r="G615" t="s">
        <v>535</v>
      </c>
      <c r="H615" s="26">
        <v>44530</v>
      </c>
      <c r="I615" s="129">
        <v>37697472.810765199</v>
      </c>
      <c r="J615" s="33">
        <f t="shared" si="97"/>
        <v>18848736.4053826</v>
      </c>
      <c r="K615" s="33">
        <f t="shared" si="98"/>
        <v>19378178.714272778</v>
      </c>
      <c r="L615" s="33">
        <f t="shared" si="99"/>
        <v>18848736.4053826</v>
      </c>
      <c r="M615" s="33">
        <f t="shared" si="100"/>
        <v>18377517.995248035</v>
      </c>
      <c r="N615" s="133">
        <v>1929355.1236349139</v>
      </c>
      <c r="O615" s="40">
        <v>0.44913029300000001</v>
      </c>
      <c r="P615" s="155" t="s">
        <v>542</v>
      </c>
      <c r="Q615" t="s">
        <v>549</v>
      </c>
    </row>
    <row r="616" spans="2:17" ht="15" x14ac:dyDescent="0.35">
      <c r="B616" t="str">
        <f t="shared" si="96"/>
        <v>iBoxx MSCI EUR High Yield Paris Aligned Capped TCA Index (12/31/2020-11/30/2022 -- pre-trajectory rebase)12</v>
      </c>
      <c r="C616" t="s">
        <v>551</v>
      </c>
      <c r="D616" t="s">
        <v>238</v>
      </c>
      <c r="E616" t="s">
        <v>541</v>
      </c>
      <c r="F616">
        <v>12</v>
      </c>
      <c r="G616" t="s">
        <v>535</v>
      </c>
      <c r="H616" s="26">
        <v>44561</v>
      </c>
      <c r="I616" s="129">
        <v>37619422.399793103</v>
      </c>
      <c r="J616" s="33">
        <f t="shared" si="97"/>
        <v>18809711.199896552</v>
      </c>
      <c r="K616" s="33">
        <f t="shared" si="98"/>
        <v>19261341.705043968</v>
      </c>
      <c r="L616" s="33">
        <f t="shared" si="99"/>
        <v>18809711.199896552</v>
      </c>
      <c r="M616" s="33">
        <f t="shared" si="100"/>
        <v>18339468.419899136</v>
      </c>
      <c r="N616" s="133">
        <v>1917722.447324048</v>
      </c>
      <c r="O616" s="40">
        <v>0.44753954699999998</v>
      </c>
      <c r="P616" s="155" t="s">
        <v>542</v>
      </c>
      <c r="Q616" t="s">
        <v>549</v>
      </c>
    </row>
    <row r="617" spans="2:17" ht="15" x14ac:dyDescent="0.35">
      <c r="B617" t="str">
        <f t="shared" si="96"/>
        <v>iBoxx MSCI EUR High Yield Paris Aligned Capped TCA Index (12/31/2020-11/30/2022 -- pre-trajectory rebase)13</v>
      </c>
      <c r="C617" t="s">
        <v>551</v>
      </c>
      <c r="D617" t="s">
        <v>238</v>
      </c>
      <c r="E617" t="s">
        <v>541</v>
      </c>
      <c r="F617">
        <v>13</v>
      </c>
      <c r="G617" t="s">
        <v>535</v>
      </c>
      <c r="H617" s="26">
        <v>44592</v>
      </c>
      <c r="I617" s="129">
        <v>37230609.690074198</v>
      </c>
      <c r="J617" s="33">
        <f t="shared" si="97"/>
        <v>18615304.845037099</v>
      </c>
      <c r="K617" s="33">
        <f t="shared" si="98"/>
        <v>19145209.142137315</v>
      </c>
      <c r="L617" s="33">
        <f t="shared" si="99"/>
        <v>18615304.845037099</v>
      </c>
      <c r="M617" s="33">
        <f t="shared" si="100"/>
        <v>18149922.22391117</v>
      </c>
      <c r="N617" s="133">
        <v>1906159.907395975</v>
      </c>
      <c r="O617" s="40">
        <v>0.44777653099999998</v>
      </c>
      <c r="P617" s="155" t="s">
        <v>542</v>
      </c>
      <c r="Q617" t="s">
        <v>549</v>
      </c>
    </row>
    <row r="618" spans="2:17" ht="15" x14ac:dyDescent="0.35">
      <c r="B618" t="str">
        <f t="shared" si="96"/>
        <v>iBoxx MSCI EUR High Yield Paris Aligned Capped TCA Index (12/31/2020-11/30/2022 -- pre-trajectory rebase)14</v>
      </c>
      <c r="C618" t="s">
        <v>551</v>
      </c>
      <c r="D618" t="s">
        <v>238</v>
      </c>
      <c r="E618" t="s">
        <v>541</v>
      </c>
      <c r="F618">
        <v>14</v>
      </c>
      <c r="G618" t="s">
        <v>535</v>
      </c>
      <c r="H618" s="26">
        <v>44620</v>
      </c>
      <c r="I618" s="129">
        <v>36782663.208092399</v>
      </c>
      <c r="J618" s="33">
        <f t="shared" si="97"/>
        <v>18391331.604046199</v>
      </c>
      <c r="K618" s="33">
        <f t="shared" si="98"/>
        <v>19029776.778228942</v>
      </c>
      <c r="L618" s="33">
        <f t="shared" si="99"/>
        <v>18391331.604046199</v>
      </c>
      <c r="M618" s="33">
        <f t="shared" si="100"/>
        <v>17931548.313945044</v>
      </c>
      <c r="N618" s="133">
        <v>1614225.4941969421</v>
      </c>
      <c r="O618" s="40">
        <v>0.456397993</v>
      </c>
      <c r="P618" s="155" t="s">
        <v>542</v>
      </c>
      <c r="Q618" t="s">
        <v>549</v>
      </c>
    </row>
    <row r="619" spans="2:17" ht="15" x14ac:dyDescent="0.35">
      <c r="B619" t="str">
        <f t="shared" si="96"/>
        <v>iBoxx MSCI EUR High Yield Paris Aligned Capped TCA Index (12/31/2020-11/30/2022 -- pre-trajectory rebase)15</v>
      </c>
      <c r="C619" t="s">
        <v>551</v>
      </c>
      <c r="D619" t="s">
        <v>238</v>
      </c>
      <c r="E619" t="s">
        <v>541</v>
      </c>
      <c r="F619">
        <v>15</v>
      </c>
      <c r="G619" t="s">
        <v>535</v>
      </c>
      <c r="H619" s="26">
        <v>44651</v>
      </c>
      <c r="I619" s="129">
        <v>38811702.4108513</v>
      </c>
      <c r="J619" s="33">
        <f t="shared" si="97"/>
        <v>19405851.20542565</v>
      </c>
      <c r="K619" s="33">
        <f t="shared" si="98"/>
        <v>18915040.391603373</v>
      </c>
      <c r="L619" s="33">
        <f t="shared" si="99"/>
        <v>18915040.391603373</v>
      </c>
      <c r="M619" s="33">
        <f t="shared" si="100"/>
        <v>18442164.381813288</v>
      </c>
      <c r="N619" s="133">
        <v>1466520.567478603</v>
      </c>
      <c r="O619" s="40">
        <v>0.45918516999999998</v>
      </c>
      <c r="P619" s="155" t="s">
        <v>542</v>
      </c>
      <c r="Q619" t="s">
        <v>549</v>
      </c>
    </row>
    <row r="620" spans="2:17" ht="15" x14ac:dyDescent="0.35">
      <c r="B620" t="str">
        <f t="shared" si="96"/>
        <v>iBoxx MSCI EUR High Yield Paris Aligned Capped TCA Index (12/31/2020-11/30/2022 -- pre-trajectory rebase)16</v>
      </c>
      <c r="C620" t="s">
        <v>551</v>
      </c>
      <c r="D620" t="s">
        <v>238</v>
      </c>
      <c r="E620" t="s">
        <v>541</v>
      </c>
      <c r="F620">
        <v>16</v>
      </c>
      <c r="G620" t="s">
        <v>535</v>
      </c>
      <c r="H620" s="26">
        <v>44681</v>
      </c>
      <c r="I620" s="129">
        <v>39030877.017535798</v>
      </c>
      <c r="J620" s="33">
        <f t="shared" si="97"/>
        <v>19515438.508767899</v>
      </c>
      <c r="K620" s="33">
        <f t="shared" si="98"/>
        <v>18800995.78599916</v>
      </c>
      <c r="L620" s="33">
        <f t="shared" si="99"/>
        <v>18800995.78599916</v>
      </c>
      <c r="M620" s="33">
        <f t="shared" si="100"/>
        <v>18330970.891349182</v>
      </c>
      <c r="N620" s="133">
        <v>1486180.60674934</v>
      </c>
      <c r="O620" s="40">
        <v>0.463986854</v>
      </c>
      <c r="P620" s="155" t="s">
        <v>542</v>
      </c>
      <c r="Q620" t="s">
        <v>549</v>
      </c>
    </row>
    <row r="621" spans="2:17" ht="15" x14ac:dyDescent="0.35">
      <c r="B621" t="str">
        <f t="shared" si="96"/>
        <v>iBoxx MSCI EUR High Yield Paris Aligned Capped TCA Index (12/31/2020-11/30/2022 -- pre-trajectory rebase)17</v>
      </c>
      <c r="C621" t="s">
        <v>551</v>
      </c>
      <c r="D621" t="s">
        <v>238</v>
      </c>
      <c r="E621" t="s">
        <v>541</v>
      </c>
      <c r="F621">
        <v>17</v>
      </c>
      <c r="G621" t="s">
        <v>535</v>
      </c>
      <c r="H621" s="26">
        <v>44712</v>
      </c>
      <c r="I621" s="129">
        <v>38525742.904932402</v>
      </c>
      <c r="J621" s="33">
        <f t="shared" si="97"/>
        <v>19262871.452466201</v>
      </c>
      <c r="K621" s="33">
        <f t="shared" si="98"/>
        <v>18687638.790455416</v>
      </c>
      <c r="L621" s="33">
        <f t="shared" si="99"/>
        <v>18687638.790455416</v>
      </c>
      <c r="M621" s="33">
        <f t="shared" si="100"/>
        <v>18220447.820694029</v>
      </c>
      <c r="N621" s="133">
        <v>1530227.3641881901</v>
      </c>
      <c r="O621" s="40">
        <v>0.471310177</v>
      </c>
      <c r="P621" s="155" t="s">
        <v>542</v>
      </c>
      <c r="Q621" t="s">
        <v>549</v>
      </c>
    </row>
    <row r="622" spans="2:17" ht="15" x14ac:dyDescent="0.35">
      <c r="B622" t="str">
        <f t="shared" si="96"/>
        <v>iBoxx MSCI EUR High Yield Paris Aligned Capped TCA Index (12/31/2020-11/30/2022 -- pre-trajectory rebase)18</v>
      </c>
      <c r="C622" t="s">
        <v>551</v>
      </c>
      <c r="D622" t="s">
        <v>238</v>
      </c>
      <c r="E622" t="s">
        <v>541</v>
      </c>
      <c r="F622">
        <v>18</v>
      </c>
      <c r="G622" t="s">
        <v>535</v>
      </c>
      <c r="H622" s="26">
        <v>44742</v>
      </c>
      <c r="I622" s="129">
        <v>35797405.459961303</v>
      </c>
      <c r="J622" s="33">
        <f t="shared" si="97"/>
        <v>17898702.729980651</v>
      </c>
      <c r="K622" s="33">
        <f t="shared" si="98"/>
        <v>18574965.259159259</v>
      </c>
      <c r="L622" s="33">
        <f t="shared" si="99"/>
        <v>17898702.729980651</v>
      </c>
      <c r="M622" s="33">
        <f t="shared" si="100"/>
        <v>17451235.161731135</v>
      </c>
      <c r="N622" s="133">
        <v>1073110.2283030299</v>
      </c>
      <c r="O622" s="40">
        <v>0.46982442899999999</v>
      </c>
      <c r="P622" s="155" t="s">
        <v>542</v>
      </c>
      <c r="Q622" t="s">
        <v>549</v>
      </c>
    </row>
    <row r="623" spans="2:17" ht="15" x14ac:dyDescent="0.35">
      <c r="B623" t="str">
        <f t="shared" si="96"/>
        <v>iBoxx MSCI EUR High Yield Paris Aligned Capped TCA Index (12/31/2020-11/30/2022 -- pre-trajectory rebase)19</v>
      </c>
      <c r="C623" t="s">
        <v>551</v>
      </c>
      <c r="D623" t="s">
        <v>238</v>
      </c>
      <c r="E623" t="s">
        <v>541</v>
      </c>
      <c r="F623">
        <v>19</v>
      </c>
      <c r="G623" t="s">
        <v>535</v>
      </c>
      <c r="H623" s="26">
        <v>44773</v>
      </c>
      <c r="I623" s="129">
        <v>41456638.966018103</v>
      </c>
      <c r="J623" s="33">
        <f t="shared" si="97"/>
        <v>20728319.483009052</v>
      </c>
      <c r="K623" s="33">
        <f t="shared" si="98"/>
        <v>18462971.071294181</v>
      </c>
      <c r="L623" s="33">
        <f t="shared" si="99"/>
        <v>18462971.071294181</v>
      </c>
      <c r="M623" s="33">
        <f t="shared" si="100"/>
        <v>18001396.794511825</v>
      </c>
      <c r="N623" s="133">
        <v>1078136.33227052</v>
      </c>
      <c r="O623" s="40">
        <v>0.46228703900000001</v>
      </c>
      <c r="P623" s="155" t="s">
        <v>542</v>
      </c>
      <c r="Q623" t="s">
        <v>549</v>
      </c>
    </row>
    <row r="624" spans="2:17" ht="15" x14ac:dyDescent="0.35">
      <c r="B624" t="str">
        <f t="shared" si="96"/>
        <v>iBoxx MSCI EUR High Yield Paris Aligned Capped TCA Index (12/31/2020-11/30/2022 -- pre-trajectory rebase)20</v>
      </c>
      <c r="C624" t="s">
        <v>551</v>
      </c>
      <c r="D624" t="s">
        <v>238</v>
      </c>
      <c r="E624" t="s">
        <v>541</v>
      </c>
      <c r="F624">
        <v>20</v>
      </c>
      <c r="G624" t="s">
        <v>535</v>
      </c>
      <c r="H624" s="26">
        <v>44804</v>
      </c>
      <c r="I624" s="129">
        <v>41207952.271033302</v>
      </c>
      <c r="J624" s="33">
        <f t="shared" si="97"/>
        <v>20603976.135516651</v>
      </c>
      <c r="K624" s="33">
        <f t="shared" si="98"/>
        <v>18351652.13088936</v>
      </c>
      <c r="L624" s="33">
        <f t="shared" si="99"/>
        <v>18351652.13088936</v>
      </c>
      <c r="M624" s="33">
        <f t="shared" si="100"/>
        <v>17892860.827617124</v>
      </c>
      <c r="N624" s="133">
        <v>1087113.416</v>
      </c>
      <c r="O624" s="40">
        <v>0.45532302200000002</v>
      </c>
      <c r="P624" s="155" t="s">
        <v>542</v>
      </c>
      <c r="Q624" t="s">
        <v>549</v>
      </c>
    </row>
    <row r="625" spans="2:17" ht="15" x14ac:dyDescent="0.35">
      <c r="B625" t="str">
        <f t="shared" si="96"/>
        <v>iBoxx MSCI EUR High Yield Paris Aligned Capped TCA Index (12/31/2020-11/30/2022 -- pre-trajectory rebase)21</v>
      </c>
      <c r="C625" t="s">
        <v>551</v>
      </c>
      <c r="D625" t="s">
        <v>238</v>
      </c>
      <c r="E625" t="s">
        <v>541</v>
      </c>
      <c r="F625">
        <v>21</v>
      </c>
      <c r="G625" t="s">
        <v>535</v>
      </c>
      <c r="H625" s="26">
        <v>44834</v>
      </c>
      <c r="I625" s="129">
        <v>36744368.285252102</v>
      </c>
      <c r="J625" s="33">
        <f t="shared" si="97"/>
        <v>18372184.142626051</v>
      </c>
      <c r="K625" s="33">
        <f t="shared" si="98"/>
        <v>18241004.366669834</v>
      </c>
      <c r="L625" s="33">
        <f t="shared" si="99"/>
        <v>18241004.366669834</v>
      </c>
      <c r="M625" s="33">
        <f t="shared" si="100"/>
        <v>17784979.257503089</v>
      </c>
      <c r="N625" s="133">
        <v>1356991.747</v>
      </c>
      <c r="O625" s="40">
        <v>0.45087423399999998</v>
      </c>
      <c r="P625" s="155" t="s">
        <v>542</v>
      </c>
      <c r="Q625" t="s">
        <v>549</v>
      </c>
    </row>
    <row r="626" spans="2:17" ht="15" x14ac:dyDescent="0.35">
      <c r="B626" t="str">
        <f t="shared" si="96"/>
        <v>iBoxx MSCI EUR High Yield Paris Aligned Capped TCA Index (12/31/2020-11/30/2022 -- pre-trajectory rebase)22</v>
      </c>
      <c r="C626" t="s">
        <v>551</v>
      </c>
      <c r="D626" t="s">
        <v>238</v>
      </c>
      <c r="E626" t="s">
        <v>541</v>
      </c>
      <c r="F626">
        <v>22</v>
      </c>
      <c r="G626" t="s">
        <v>535</v>
      </c>
      <c r="H626" s="26">
        <v>44865</v>
      </c>
      <c r="I626" s="129">
        <v>38375793.915126503</v>
      </c>
      <c r="J626" s="33">
        <f t="shared" si="97"/>
        <v>19187896.957563251</v>
      </c>
      <c r="K626" s="33">
        <f t="shared" si="98"/>
        <v>18131023.731907617</v>
      </c>
      <c r="L626" s="33">
        <f t="shared" si="99"/>
        <v>18131023.731907617</v>
      </c>
      <c r="M626" s="33">
        <f t="shared" si="100"/>
        <v>17677748.138609927</v>
      </c>
      <c r="N626" s="133">
        <v>1440094.1229999999</v>
      </c>
      <c r="O626" s="40">
        <v>0.44927594399999998</v>
      </c>
      <c r="P626" s="155" t="s">
        <v>542</v>
      </c>
      <c r="Q626" t="s">
        <v>549</v>
      </c>
    </row>
    <row r="627" spans="2:17" ht="15" x14ac:dyDescent="0.35">
      <c r="B627" t="str">
        <f t="shared" si="96"/>
        <v>iBoxx MSCI EUR High Yield Paris Aligned Capped TCA Index (12/31/2020-11/30/2022 -- pre-trajectory rebase)23</v>
      </c>
      <c r="C627" t="s">
        <v>551</v>
      </c>
      <c r="D627" t="s">
        <v>238</v>
      </c>
      <c r="E627" t="s">
        <v>541</v>
      </c>
      <c r="F627">
        <v>23</v>
      </c>
      <c r="G627" t="s">
        <v>535</v>
      </c>
      <c r="H627" s="26">
        <v>44895</v>
      </c>
      <c r="I627" s="129">
        <v>37097339.962536603</v>
      </c>
      <c r="J627" s="33">
        <f t="shared" si="97"/>
        <v>18548669.981268302</v>
      </c>
      <c r="K627" s="33">
        <f t="shared" si="98"/>
        <v>18021706.204273686</v>
      </c>
      <c r="L627" s="33">
        <f t="shared" si="99"/>
        <v>18021706.204273686</v>
      </c>
      <c r="M627" s="33">
        <f t="shared" si="100"/>
        <v>17571163.549166843</v>
      </c>
      <c r="N627" s="133">
        <v>1406946.175</v>
      </c>
      <c r="O627" s="40">
        <v>0.44882861099999999</v>
      </c>
      <c r="P627" s="155" t="s">
        <v>542</v>
      </c>
      <c r="Q627" t="s">
        <v>549</v>
      </c>
    </row>
    <row r="628" spans="2:17" ht="15" x14ac:dyDescent="0.35">
      <c r="B628" t="str">
        <f t="shared" si="96"/>
        <v>iBoxx MSCI EUR High Yield Paris Aligned Capped TCA Index (12/31/2020-11/30/2022 -- pre-trajectory rebase)24</v>
      </c>
      <c r="C628" t="s">
        <v>551</v>
      </c>
      <c r="D628" t="s">
        <v>238</v>
      </c>
      <c r="E628" t="s">
        <v>541</v>
      </c>
      <c r="F628">
        <v>24</v>
      </c>
      <c r="G628" t="s">
        <v>535</v>
      </c>
      <c r="H628" s="26">
        <v>44926</v>
      </c>
      <c r="I628" s="130"/>
      <c r="J628" s="131"/>
      <c r="K628" s="131"/>
      <c r="L628" s="131"/>
      <c r="M628" s="131"/>
      <c r="N628" s="131"/>
      <c r="O628" s="132"/>
      <c r="P628" s="155" t="s">
        <v>542</v>
      </c>
      <c r="Q628" s="25" t="s">
        <v>550</v>
      </c>
    </row>
    <row r="629" spans="2:17" ht="15" x14ac:dyDescent="0.35">
      <c r="B629" t="str">
        <f t="shared" si="96"/>
        <v>iBoxx MSCI EUR High Yield Paris Aligned Capped TCA Index (12/31/2020-11/30/2022 -- pre-trajectory rebase)25</v>
      </c>
      <c r="C629" t="s">
        <v>551</v>
      </c>
      <c r="D629" t="s">
        <v>238</v>
      </c>
      <c r="E629" t="s">
        <v>541</v>
      </c>
      <c r="F629">
        <v>25</v>
      </c>
      <c r="G629" t="s">
        <v>535</v>
      </c>
      <c r="H629" s="26">
        <v>44957</v>
      </c>
      <c r="I629" s="131"/>
      <c r="J629" s="131"/>
      <c r="K629" s="131"/>
      <c r="L629" s="131"/>
      <c r="M629" s="131"/>
      <c r="N629" s="131"/>
      <c r="O629" s="132"/>
      <c r="P629" s="155" t="s">
        <v>542</v>
      </c>
    </row>
    <row r="630" spans="2:17" ht="15" x14ac:dyDescent="0.35">
      <c r="B630" t="str">
        <f t="shared" si="96"/>
        <v>iBoxx MSCI EUR High Yield Paris Aligned Capped TCA Index (12/31/2020-11/30/2022 -- pre-trajectory rebase)26</v>
      </c>
      <c r="C630" t="s">
        <v>551</v>
      </c>
      <c r="D630" t="s">
        <v>238</v>
      </c>
      <c r="E630" t="s">
        <v>541</v>
      </c>
      <c r="F630">
        <v>26</v>
      </c>
      <c r="G630" t="s">
        <v>535</v>
      </c>
      <c r="H630" s="26">
        <v>44985</v>
      </c>
      <c r="I630" s="131"/>
      <c r="J630" s="131"/>
      <c r="K630" s="131"/>
      <c r="L630" s="131"/>
      <c r="M630" s="131"/>
      <c r="N630" s="131"/>
      <c r="O630" s="132"/>
      <c r="P630" s="155" t="s">
        <v>542</v>
      </c>
    </row>
    <row r="631" spans="2:17" ht="15" x14ac:dyDescent="0.35">
      <c r="B631" t="str">
        <f t="shared" si="96"/>
        <v>iBoxx MSCI EUR High Yield Paris Aligned Capped TCA Index (12/31/2020-11/30/2022 -- pre-trajectory rebase)27</v>
      </c>
      <c r="C631" t="s">
        <v>551</v>
      </c>
      <c r="D631" t="s">
        <v>238</v>
      </c>
      <c r="E631" t="s">
        <v>541</v>
      </c>
      <c r="F631">
        <v>27</v>
      </c>
      <c r="G631" t="s">
        <v>535</v>
      </c>
      <c r="H631" s="26">
        <v>45016</v>
      </c>
      <c r="I631" s="131"/>
      <c r="J631" s="131"/>
      <c r="K631" s="131"/>
      <c r="L631" s="131"/>
      <c r="M631" s="131"/>
      <c r="N631" s="131"/>
      <c r="O631" s="132"/>
      <c r="P631" s="155" t="s">
        <v>542</v>
      </c>
    </row>
    <row r="632" spans="2:17" ht="15" x14ac:dyDescent="0.35">
      <c r="B632" t="str">
        <f t="shared" si="96"/>
        <v>iBoxx MSCI EUR High Yield Paris Aligned Capped TCA Index (12/31/2020-11/30/2022 -- pre-trajectory rebase)28</v>
      </c>
      <c r="C632" t="s">
        <v>551</v>
      </c>
      <c r="D632" t="s">
        <v>238</v>
      </c>
      <c r="E632" t="s">
        <v>541</v>
      </c>
      <c r="F632">
        <v>28</v>
      </c>
      <c r="G632" t="s">
        <v>535</v>
      </c>
      <c r="H632" s="26">
        <v>45046</v>
      </c>
      <c r="I632" s="131"/>
      <c r="J632" s="131"/>
      <c r="K632" s="131"/>
      <c r="L632" s="131"/>
      <c r="M632" s="131"/>
      <c r="N632" s="131"/>
      <c r="O632" s="132"/>
      <c r="P632" s="155" t="s">
        <v>542</v>
      </c>
    </row>
    <row r="633" spans="2:17" ht="15" x14ac:dyDescent="0.35">
      <c r="B633" t="str">
        <f t="shared" si="96"/>
        <v>iBoxx MSCI EUR High Yield Paris Aligned Capped TCA Index (12/31/2020-11/30/2022 -- pre-trajectory rebase)29</v>
      </c>
      <c r="C633" t="s">
        <v>551</v>
      </c>
      <c r="D633" t="s">
        <v>238</v>
      </c>
      <c r="E633" t="s">
        <v>541</v>
      </c>
      <c r="F633">
        <v>29</v>
      </c>
      <c r="G633" t="s">
        <v>535</v>
      </c>
      <c r="H633" s="26">
        <v>45077</v>
      </c>
      <c r="I633" s="131"/>
      <c r="J633" s="131"/>
      <c r="K633" s="131"/>
      <c r="L633" s="131"/>
      <c r="M633" s="131"/>
      <c r="N633" s="131"/>
      <c r="O633" s="132"/>
      <c r="P633" s="155" t="s">
        <v>542</v>
      </c>
    </row>
    <row r="634" spans="2:17" ht="15" x14ac:dyDescent="0.35">
      <c r="B634" t="str">
        <f t="shared" si="96"/>
        <v>iBoxx MSCI EUR High Yield Paris Aligned Capped TCA Index (12/31/2020-11/30/2022 -- pre-trajectory rebase)30</v>
      </c>
      <c r="C634" t="s">
        <v>551</v>
      </c>
      <c r="D634" t="s">
        <v>238</v>
      </c>
      <c r="E634" t="s">
        <v>541</v>
      </c>
      <c r="F634">
        <v>30</v>
      </c>
      <c r="G634" t="s">
        <v>535</v>
      </c>
      <c r="H634" s="26">
        <v>45107</v>
      </c>
      <c r="I634" s="131"/>
      <c r="J634" s="131"/>
      <c r="K634" s="131"/>
      <c r="L634" s="131"/>
      <c r="M634" s="131"/>
      <c r="N634" s="131"/>
      <c r="O634" s="132"/>
      <c r="P634" s="155" t="s">
        <v>542</v>
      </c>
    </row>
    <row r="635" spans="2:17" ht="15" x14ac:dyDescent="0.35">
      <c r="B635" t="str">
        <f t="shared" si="96"/>
        <v>iBoxx MSCI EUR High Yield Paris Aligned Capped TCA Index (12/31/2020-11/30/2022 -- pre-trajectory rebase)31</v>
      </c>
      <c r="C635" t="s">
        <v>551</v>
      </c>
      <c r="D635" t="s">
        <v>238</v>
      </c>
      <c r="E635" t="s">
        <v>541</v>
      </c>
      <c r="F635">
        <v>31</v>
      </c>
      <c r="G635" t="s">
        <v>535</v>
      </c>
      <c r="H635" s="26">
        <v>45138</v>
      </c>
      <c r="I635" s="131"/>
      <c r="J635" s="131"/>
      <c r="K635" s="131"/>
      <c r="L635" s="131"/>
      <c r="M635" s="131"/>
      <c r="N635" s="131"/>
      <c r="O635" s="132"/>
      <c r="P635" s="155" t="s">
        <v>542</v>
      </c>
    </row>
    <row r="636" spans="2:17" ht="15" x14ac:dyDescent="0.35">
      <c r="B636" t="str">
        <f t="shared" si="96"/>
        <v>iBoxx MSCI EUR High Yield Paris Aligned Capped TCA Index (12/31/2020-11/30/2022 -- pre-trajectory rebase)32</v>
      </c>
      <c r="C636" t="s">
        <v>551</v>
      </c>
      <c r="D636" t="s">
        <v>238</v>
      </c>
      <c r="E636" t="s">
        <v>541</v>
      </c>
      <c r="F636">
        <v>32</v>
      </c>
      <c r="G636" t="s">
        <v>535</v>
      </c>
      <c r="H636" s="26">
        <v>45169</v>
      </c>
      <c r="I636" s="131"/>
      <c r="J636" s="131"/>
      <c r="K636" s="131"/>
      <c r="L636" s="131"/>
      <c r="M636" s="131"/>
      <c r="N636" s="131"/>
      <c r="O636" s="132"/>
      <c r="P636" s="155" t="s">
        <v>542</v>
      </c>
    </row>
    <row r="637" spans="2:17" ht="15" x14ac:dyDescent="0.35">
      <c r="B637" t="str">
        <f t="shared" si="96"/>
        <v>iBoxx MSCI EUR High Yield Paris Aligned Capped TCA Index (12/31/2020-11/30/2022 -- pre-trajectory rebase)33</v>
      </c>
      <c r="C637" t="s">
        <v>551</v>
      </c>
      <c r="D637" t="s">
        <v>238</v>
      </c>
      <c r="E637" t="s">
        <v>541</v>
      </c>
      <c r="F637">
        <v>33</v>
      </c>
      <c r="G637" t="s">
        <v>535</v>
      </c>
      <c r="H637" s="26">
        <v>45199</v>
      </c>
      <c r="I637" s="131"/>
      <c r="J637" s="131"/>
      <c r="K637" s="131"/>
      <c r="L637" s="131"/>
      <c r="M637" s="131"/>
      <c r="N637" s="131"/>
      <c r="O637" s="132"/>
      <c r="P637" s="155" t="s">
        <v>542</v>
      </c>
    </row>
    <row r="638" spans="2:17" ht="15" x14ac:dyDescent="0.35">
      <c r="B638" t="str">
        <f t="shared" si="96"/>
        <v>iBoxx MSCI EUR High Yield Paris Aligned Capped TCA Index (12/31/2020-11/30/2022 -- pre-trajectory rebase)34</v>
      </c>
      <c r="C638" t="s">
        <v>551</v>
      </c>
      <c r="D638" t="s">
        <v>238</v>
      </c>
      <c r="E638" t="s">
        <v>541</v>
      </c>
      <c r="F638">
        <v>34</v>
      </c>
      <c r="G638" t="s">
        <v>535</v>
      </c>
      <c r="H638" s="26">
        <v>45230</v>
      </c>
      <c r="I638" s="131"/>
      <c r="J638" s="131"/>
      <c r="K638" s="131"/>
      <c r="L638" s="131"/>
      <c r="M638" s="131"/>
      <c r="N638" s="131"/>
      <c r="O638" s="132"/>
      <c r="P638" s="155" t="s">
        <v>542</v>
      </c>
    </row>
    <row r="639" spans="2:17" ht="15" x14ac:dyDescent="0.35">
      <c r="B639" t="str">
        <f t="shared" si="96"/>
        <v>iBoxx MSCI EUR High Yield Paris Aligned Capped TCA Index (12/31/2020-11/30/2022 -- pre-trajectory rebase)35</v>
      </c>
      <c r="C639" t="s">
        <v>551</v>
      </c>
      <c r="D639" t="s">
        <v>238</v>
      </c>
      <c r="E639" t="s">
        <v>541</v>
      </c>
      <c r="F639">
        <v>35</v>
      </c>
      <c r="G639" t="s">
        <v>535</v>
      </c>
      <c r="H639" s="26">
        <v>45260</v>
      </c>
      <c r="I639" s="131"/>
      <c r="J639" s="131"/>
      <c r="K639" s="131"/>
      <c r="L639" s="131"/>
      <c r="M639" s="131"/>
      <c r="N639" s="131"/>
      <c r="O639" s="132"/>
      <c r="P639" s="155" t="s">
        <v>542</v>
      </c>
    </row>
    <row r="640" spans="2:17" ht="15" x14ac:dyDescent="0.35">
      <c r="B640" t="str">
        <f t="shared" si="96"/>
        <v>iBoxx MSCI EUR High Yield Paris Aligned Capped TCA Index (12/31/2020-11/30/2022 -- pre-trajectory rebase)36</v>
      </c>
      <c r="C640" t="s">
        <v>551</v>
      </c>
      <c r="D640" t="s">
        <v>238</v>
      </c>
      <c r="E640" t="s">
        <v>541</v>
      </c>
      <c r="F640">
        <v>36</v>
      </c>
      <c r="G640" t="s">
        <v>535</v>
      </c>
      <c r="H640" s="26">
        <v>45291</v>
      </c>
      <c r="I640" s="131"/>
      <c r="J640" s="131"/>
      <c r="K640" s="131"/>
      <c r="L640" s="131"/>
      <c r="M640" s="131"/>
      <c r="N640" s="131"/>
      <c r="O640" s="132"/>
      <c r="P640" s="155" t="s">
        <v>542</v>
      </c>
    </row>
    <row r="641" spans="2:16" ht="15" x14ac:dyDescent="0.35">
      <c r="B641" t="str">
        <f t="shared" si="96"/>
        <v>iBoxx MSCI EUR High Yield Paris Aligned Capped TCA Index (12/31/2020-11/30/2022 -- pre-trajectory rebase)37</v>
      </c>
      <c r="C641" t="s">
        <v>551</v>
      </c>
      <c r="D641" t="s">
        <v>238</v>
      </c>
      <c r="E641" t="s">
        <v>541</v>
      </c>
      <c r="F641">
        <v>37</v>
      </c>
      <c r="G641" t="s">
        <v>535</v>
      </c>
      <c r="H641" s="26">
        <v>45322</v>
      </c>
      <c r="I641" s="131"/>
      <c r="J641" s="131"/>
      <c r="K641" s="131"/>
      <c r="L641" s="131"/>
      <c r="M641" s="131"/>
      <c r="N641" s="131"/>
      <c r="O641" s="132"/>
      <c r="P641" s="155" t="s">
        <v>542</v>
      </c>
    </row>
    <row r="642" spans="2:16" ht="15" x14ac:dyDescent="0.35">
      <c r="B642" t="str">
        <f t="shared" si="96"/>
        <v>iBoxx MSCI EUR High Yield Paris Aligned Capped TCA Index (12/31/2020-11/30/2022 -- pre-trajectory rebase)38</v>
      </c>
      <c r="C642" t="s">
        <v>551</v>
      </c>
      <c r="D642" t="s">
        <v>238</v>
      </c>
      <c r="E642" t="s">
        <v>541</v>
      </c>
      <c r="F642">
        <v>38</v>
      </c>
      <c r="G642" t="s">
        <v>535</v>
      </c>
      <c r="H642" s="26">
        <v>45350</v>
      </c>
      <c r="I642" s="131"/>
      <c r="J642" s="131"/>
      <c r="K642" s="131"/>
      <c r="L642" s="131"/>
      <c r="M642" s="131"/>
      <c r="N642" s="131"/>
      <c r="O642" s="132"/>
      <c r="P642" s="155" t="s">
        <v>542</v>
      </c>
    </row>
    <row r="643" spans="2:16" ht="15" x14ac:dyDescent="0.35">
      <c r="B643" t="str">
        <f t="shared" si="96"/>
        <v>iBoxx MSCI EUR High Yield Paris Aligned Capped TCA Index (12/31/2020-11/30/2022 -- pre-trajectory rebase)39</v>
      </c>
      <c r="C643" t="s">
        <v>551</v>
      </c>
      <c r="D643" t="s">
        <v>238</v>
      </c>
      <c r="E643" t="s">
        <v>541</v>
      </c>
      <c r="F643">
        <v>39</v>
      </c>
      <c r="G643" t="s">
        <v>535</v>
      </c>
      <c r="H643" s="26">
        <v>45382</v>
      </c>
      <c r="I643" s="131"/>
      <c r="J643" s="131"/>
      <c r="K643" s="131"/>
      <c r="L643" s="131"/>
      <c r="M643" s="131"/>
      <c r="N643" s="131"/>
      <c r="O643" s="132"/>
      <c r="P643" s="155" t="s">
        <v>542</v>
      </c>
    </row>
    <row r="644" spans="2:16" ht="15" x14ac:dyDescent="0.35">
      <c r="B644" t="str">
        <f t="shared" si="96"/>
        <v>iBoxx MSCI EUR High Yield Paris Aligned Capped TCA Index (12/31/2020-11/30/2022 -- pre-trajectory rebase)40</v>
      </c>
      <c r="C644" t="s">
        <v>551</v>
      </c>
      <c r="D644" t="s">
        <v>238</v>
      </c>
      <c r="E644" t="s">
        <v>541</v>
      </c>
      <c r="F644">
        <v>40</v>
      </c>
      <c r="G644" t="s">
        <v>535</v>
      </c>
      <c r="H644" s="26">
        <v>45412</v>
      </c>
      <c r="I644" s="131"/>
      <c r="J644" s="131"/>
      <c r="K644" s="131"/>
      <c r="L644" s="131"/>
      <c r="M644" s="131"/>
      <c r="N644" s="131"/>
      <c r="O644" s="132"/>
      <c r="P644" s="155" t="s">
        <v>542</v>
      </c>
    </row>
    <row r="645" spans="2:16" ht="15" x14ac:dyDescent="0.35">
      <c r="B645" t="str">
        <f t="shared" si="96"/>
        <v>iBoxx MSCI EUR High Yield Paris Aligned Capped TCA Index (12/31/2020-11/30/2022 -- pre-trajectory rebase)41</v>
      </c>
      <c r="C645" t="s">
        <v>551</v>
      </c>
      <c r="D645" t="s">
        <v>238</v>
      </c>
      <c r="E645" t="s">
        <v>541</v>
      </c>
      <c r="F645">
        <v>41</v>
      </c>
      <c r="G645" t="s">
        <v>535</v>
      </c>
      <c r="H645" s="26">
        <v>45443</v>
      </c>
      <c r="I645" s="131"/>
      <c r="J645" s="131"/>
      <c r="K645" s="131"/>
      <c r="L645" s="131"/>
      <c r="M645" s="131"/>
      <c r="N645" s="131"/>
      <c r="O645" s="132"/>
      <c r="P645" s="155" t="s">
        <v>542</v>
      </c>
    </row>
    <row r="646" spans="2:16" ht="15" x14ac:dyDescent="0.35">
      <c r="B646" t="str">
        <f t="shared" si="96"/>
        <v>iBoxx MSCI EUR High Yield Paris Aligned Capped TCA Index (12/31/2020-11/30/2022 -- pre-trajectory rebase)42</v>
      </c>
      <c r="C646" t="s">
        <v>551</v>
      </c>
      <c r="D646" t="s">
        <v>238</v>
      </c>
      <c r="E646" t="s">
        <v>541</v>
      </c>
      <c r="F646">
        <v>42</v>
      </c>
      <c r="G646" t="s">
        <v>535</v>
      </c>
      <c r="H646" s="26">
        <v>45473</v>
      </c>
      <c r="I646" s="131"/>
      <c r="J646" s="131"/>
      <c r="K646" s="131"/>
      <c r="L646" s="131"/>
      <c r="M646" s="131"/>
      <c r="N646" s="131"/>
      <c r="O646" s="132"/>
      <c r="P646" s="155" t="s">
        <v>542</v>
      </c>
    </row>
    <row r="647" spans="2:16" ht="15" x14ac:dyDescent="0.35">
      <c r="B647" t="str">
        <f t="shared" si="96"/>
        <v>iBoxx MSCI EUR High Yield Paris Aligned Capped TCA Index (12/31/2020-11/30/2022 -- pre-trajectory rebase)43</v>
      </c>
      <c r="C647" t="s">
        <v>551</v>
      </c>
      <c r="D647" t="s">
        <v>238</v>
      </c>
      <c r="E647" t="s">
        <v>541</v>
      </c>
      <c r="F647">
        <v>43</v>
      </c>
      <c r="G647" t="s">
        <v>535</v>
      </c>
      <c r="H647" s="26">
        <v>45504</v>
      </c>
      <c r="I647" s="131"/>
      <c r="J647" s="131"/>
      <c r="K647" s="131"/>
      <c r="L647" s="131"/>
      <c r="M647" s="131"/>
      <c r="N647" s="131"/>
      <c r="O647" s="132"/>
      <c r="P647" s="155" t="s">
        <v>542</v>
      </c>
    </row>
    <row r="648" spans="2:16" ht="15" x14ac:dyDescent="0.35">
      <c r="B648" t="str">
        <f t="shared" si="96"/>
        <v>iBoxx MSCI EUR High Yield Paris Aligned Capped TCA Index (12/31/2020-11/30/2022 -- pre-trajectory rebase)44</v>
      </c>
      <c r="C648" t="s">
        <v>551</v>
      </c>
      <c r="D648" t="s">
        <v>238</v>
      </c>
      <c r="E648" t="s">
        <v>541</v>
      </c>
      <c r="F648">
        <v>44</v>
      </c>
      <c r="G648" t="s">
        <v>535</v>
      </c>
      <c r="H648" s="26">
        <v>45535</v>
      </c>
      <c r="I648" s="131"/>
      <c r="J648" s="131"/>
      <c r="K648" s="131"/>
      <c r="L648" s="131"/>
      <c r="M648" s="131"/>
      <c r="N648" s="131"/>
      <c r="O648" s="132"/>
      <c r="P648" s="155" t="s">
        <v>542</v>
      </c>
    </row>
    <row r="649" spans="2:16" ht="15" x14ac:dyDescent="0.35">
      <c r="B649" t="str">
        <f t="shared" si="96"/>
        <v>iBoxx MSCI EUR High Yield Paris Aligned Capped TCA Index (12/31/2020-11/30/2022 -- pre-trajectory rebase)45</v>
      </c>
      <c r="C649" t="s">
        <v>551</v>
      </c>
      <c r="D649" t="s">
        <v>238</v>
      </c>
      <c r="E649" t="s">
        <v>541</v>
      </c>
      <c r="F649">
        <v>45</v>
      </c>
      <c r="G649" t="s">
        <v>535</v>
      </c>
      <c r="H649" s="26">
        <v>45565</v>
      </c>
      <c r="I649" s="131"/>
      <c r="J649" s="131"/>
      <c r="K649" s="131"/>
      <c r="L649" s="131"/>
      <c r="M649" s="131"/>
      <c r="N649" s="131"/>
      <c r="O649" s="132"/>
      <c r="P649" s="155" t="s">
        <v>542</v>
      </c>
    </row>
    <row r="650" spans="2:16" ht="15" x14ac:dyDescent="0.35">
      <c r="B650" t="str">
        <f t="shared" si="96"/>
        <v>iBoxx MSCI EUR High Yield Paris Aligned Capped TCA Index (12/31/2020-11/30/2022 -- pre-trajectory rebase)46</v>
      </c>
      <c r="C650" t="s">
        <v>551</v>
      </c>
      <c r="D650" t="s">
        <v>238</v>
      </c>
      <c r="E650" t="s">
        <v>541</v>
      </c>
      <c r="F650">
        <v>46</v>
      </c>
      <c r="G650" t="s">
        <v>535</v>
      </c>
      <c r="H650" s="26">
        <v>45596</v>
      </c>
      <c r="I650" s="131"/>
      <c r="J650" s="131"/>
      <c r="K650" s="131"/>
      <c r="L650" s="131"/>
      <c r="M650" s="131"/>
      <c r="N650" s="131"/>
      <c r="O650" s="132"/>
      <c r="P650" s="155" t="s">
        <v>542</v>
      </c>
    </row>
    <row r="651" spans="2:16" ht="15" x14ac:dyDescent="0.35">
      <c r="B651" t="str">
        <f t="shared" si="96"/>
        <v>iBoxx MSCI EUR High Yield Paris Aligned Capped TCA Index (12/31/2020-11/30/2022 -- pre-trajectory rebase)47</v>
      </c>
      <c r="C651" t="s">
        <v>551</v>
      </c>
      <c r="D651" t="s">
        <v>238</v>
      </c>
      <c r="E651" t="s">
        <v>541</v>
      </c>
      <c r="F651">
        <v>47</v>
      </c>
      <c r="G651" t="s">
        <v>535</v>
      </c>
      <c r="H651" s="26">
        <v>45626</v>
      </c>
      <c r="I651" s="131"/>
      <c r="J651" s="131"/>
      <c r="K651" s="131"/>
      <c r="L651" s="131"/>
      <c r="M651" s="131"/>
      <c r="N651" s="131"/>
      <c r="O651" s="132"/>
      <c r="P651" s="155" t="s">
        <v>542</v>
      </c>
    </row>
    <row r="652" spans="2:16" ht="15" x14ac:dyDescent="0.35">
      <c r="B652" t="str">
        <f t="shared" si="96"/>
        <v>iBoxx MSCI EUR High Yield Paris Aligned Capped TCA Index (12/31/2020-11/30/2022 -- pre-trajectory rebase)48</v>
      </c>
      <c r="C652" t="s">
        <v>551</v>
      </c>
      <c r="D652" t="s">
        <v>238</v>
      </c>
      <c r="E652" t="s">
        <v>541</v>
      </c>
      <c r="F652">
        <v>48</v>
      </c>
      <c r="G652" t="s">
        <v>535</v>
      </c>
      <c r="H652" s="26">
        <v>45657</v>
      </c>
      <c r="I652" s="131"/>
      <c r="J652" s="131"/>
      <c r="K652" s="131"/>
      <c r="L652" s="131"/>
      <c r="M652" s="131"/>
      <c r="N652" s="131"/>
      <c r="O652" s="132"/>
      <c r="P652" s="155" t="s">
        <v>542</v>
      </c>
    </row>
    <row r="653" spans="2:16" ht="15" x14ac:dyDescent="0.35">
      <c r="B653" t="str">
        <f t="shared" si="96"/>
        <v>iBoxx MSCI EUR High Yield Paris Aligned Capped TCA Index (12/31/2020-11/30/2022 -- pre-trajectory rebase)49</v>
      </c>
      <c r="C653" t="s">
        <v>551</v>
      </c>
      <c r="D653" t="s">
        <v>238</v>
      </c>
      <c r="E653" t="s">
        <v>541</v>
      </c>
      <c r="F653">
        <v>49</v>
      </c>
      <c r="G653" t="s">
        <v>535</v>
      </c>
      <c r="H653" s="26">
        <v>45688</v>
      </c>
      <c r="I653" s="131"/>
      <c r="J653" s="131"/>
      <c r="K653" s="131"/>
      <c r="L653" s="131"/>
      <c r="M653" s="131"/>
      <c r="N653" s="131"/>
      <c r="O653" s="132"/>
      <c r="P653" s="155" t="s">
        <v>542</v>
      </c>
    </row>
    <row r="654" spans="2:16" ht="15" x14ac:dyDescent="0.35">
      <c r="B654" t="str">
        <f t="shared" si="96"/>
        <v>iBoxx MSCI EUR High Yield Paris Aligned Capped TCA Index (12/31/2020-11/30/2022 -- pre-trajectory rebase)50</v>
      </c>
      <c r="C654" t="s">
        <v>551</v>
      </c>
      <c r="D654" t="s">
        <v>238</v>
      </c>
      <c r="E654" t="s">
        <v>541</v>
      </c>
      <c r="F654">
        <v>50</v>
      </c>
      <c r="G654" t="s">
        <v>535</v>
      </c>
      <c r="H654" s="26">
        <v>45716</v>
      </c>
      <c r="I654" s="131"/>
      <c r="J654" s="131"/>
      <c r="K654" s="131"/>
      <c r="L654" s="131"/>
      <c r="M654" s="131"/>
      <c r="N654" s="131"/>
      <c r="O654" s="132"/>
      <c r="P654" s="155" t="s">
        <v>542</v>
      </c>
    </row>
    <row r="655" spans="2:16" ht="15" x14ac:dyDescent="0.35">
      <c r="B655" t="str">
        <f t="shared" si="96"/>
        <v>iBoxx MSCI EUR High Yield Paris Aligned Capped TCA Index (12/31/2020-11/30/2022 -- pre-trajectory rebase)51</v>
      </c>
      <c r="C655" t="s">
        <v>551</v>
      </c>
      <c r="D655" t="s">
        <v>238</v>
      </c>
      <c r="E655" t="s">
        <v>541</v>
      </c>
      <c r="F655">
        <v>51</v>
      </c>
      <c r="G655" t="s">
        <v>535</v>
      </c>
      <c r="H655" s="26">
        <v>45747</v>
      </c>
      <c r="I655" s="131"/>
      <c r="J655" s="131"/>
      <c r="K655" s="131"/>
      <c r="L655" s="131"/>
      <c r="M655" s="131"/>
      <c r="N655" s="131"/>
      <c r="O655" s="132"/>
      <c r="P655" s="155" t="s">
        <v>542</v>
      </c>
    </row>
    <row r="656" spans="2:16" ht="15" x14ac:dyDescent="0.35">
      <c r="B656" t="str">
        <f t="shared" si="96"/>
        <v>iBoxx MSCI EUR High Yield Paris Aligned Capped TCA Index (12/31/2020-11/30/2022 -- pre-trajectory rebase)52</v>
      </c>
      <c r="C656" t="s">
        <v>551</v>
      </c>
      <c r="D656" t="s">
        <v>238</v>
      </c>
      <c r="E656" t="s">
        <v>541</v>
      </c>
      <c r="F656">
        <v>52</v>
      </c>
      <c r="G656" t="s">
        <v>535</v>
      </c>
      <c r="H656" s="26">
        <v>45777</v>
      </c>
      <c r="I656" s="131"/>
      <c r="J656" s="131"/>
      <c r="K656" s="131"/>
      <c r="L656" s="131"/>
      <c r="M656" s="131"/>
      <c r="N656" s="131"/>
      <c r="O656" s="132"/>
      <c r="P656" s="155" t="s">
        <v>542</v>
      </c>
    </row>
    <row r="657" spans="2:16" ht="15" x14ac:dyDescent="0.35">
      <c r="B657" t="str">
        <f t="shared" si="96"/>
        <v>iBoxx MSCI EUR High Yield Paris Aligned Capped TCA Index (12/31/2020-11/30/2022 -- pre-trajectory rebase)53</v>
      </c>
      <c r="C657" t="s">
        <v>551</v>
      </c>
      <c r="D657" t="s">
        <v>238</v>
      </c>
      <c r="E657" t="s">
        <v>541</v>
      </c>
      <c r="F657">
        <v>53</v>
      </c>
      <c r="G657" t="s">
        <v>535</v>
      </c>
      <c r="H657" s="26">
        <v>45808</v>
      </c>
      <c r="I657" s="131"/>
      <c r="J657" s="131"/>
      <c r="K657" s="131"/>
      <c r="L657" s="131"/>
      <c r="M657" s="131"/>
      <c r="N657" s="131"/>
      <c r="O657" s="132"/>
      <c r="P657" s="155" t="s">
        <v>542</v>
      </c>
    </row>
    <row r="658" spans="2:16" ht="15" x14ac:dyDescent="0.35">
      <c r="B658" t="str">
        <f t="shared" si="96"/>
        <v>iBoxx MSCI EUR High Yield Paris Aligned Capped TCA Index (12/31/2020-11/30/2022 -- pre-trajectory rebase)54</v>
      </c>
      <c r="C658" t="s">
        <v>551</v>
      </c>
      <c r="D658" t="s">
        <v>238</v>
      </c>
      <c r="E658" t="s">
        <v>541</v>
      </c>
      <c r="F658">
        <v>54</v>
      </c>
      <c r="G658" t="s">
        <v>535</v>
      </c>
      <c r="H658" s="26">
        <v>45838</v>
      </c>
      <c r="I658" s="131"/>
      <c r="J658" s="131"/>
      <c r="K658" s="131"/>
      <c r="L658" s="131"/>
      <c r="M658" s="131"/>
      <c r="N658" s="131"/>
      <c r="O658" s="132"/>
      <c r="P658" s="155" t="s">
        <v>542</v>
      </c>
    </row>
    <row r="659" spans="2:16" ht="15" x14ac:dyDescent="0.35">
      <c r="B659" t="str">
        <f t="shared" si="96"/>
        <v>iBoxx MSCI EUR High Yield Paris Aligned Capped TCA Index (12/31/2020-11/30/2022 -- pre-trajectory rebase)55</v>
      </c>
      <c r="C659" t="s">
        <v>551</v>
      </c>
      <c r="D659" t="s">
        <v>238</v>
      </c>
      <c r="E659" t="s">
        <v>541</v>
      </c>
      <c r="F659">
        <v>55</v>
      </c>
      <c r="G659" t="s">
        <v>535</v>
      </c>
      <c r="H659" s="26">
        <v>45869</v>
      </c>
      <c r="I659" s="131"/>
      <c r="J659" s="131"/>
      <c r="K659" s="131"/>
      <c r="L659" s="131"/>
      <c r="M659" s="131"/>
      <c r="N659" s="131"/>
      <c r="O659" s="132"/>
      <c r="P659" s="155" t="s">
        <v>542</v>
      </c>
    </row>
    <row r="660" spans="2:16" ht="15" x14ac:dyDescent="0.35">
      <c r="B660" t="str">
        <f t="shared" si="96"/>
        <v>iBoxx MSCI EUR High Yield Paris Aligned Capped TCA Index (12/31/2020-11/30/2022 -- pre-trajectory rebase)56</v>
      </c>
      <c r="C660" t="s">
        <v>551</v>
      </c>
      <c r="D660" t="s">
        <v>238</v>
      </c>
      <c r="E660" t="s">
        <v>541</v>
      </c>
      <c r="F660">
        <v>56</v>
      </c>
      <c r="G660" t="s">
        <v>535</v>
      </c>
      <c r="H660" s="26">
        <v>45900</v>
      </c>
      <c r="I660" s="131"/>
      <c r="J660" s="131"/>
      <c r="K660" s="131"/>
      <c r="L660" s="131"/>
      <c r="M660" s="131"/>
      <c r="N660" s="131"/>
      <c r="O660" s="132"/>
      <c r="P660" s="155" t="s">
        <v>542</v>
      </c>
    </row>
    <row r="661" spans="2:16" ht="15" x14ac:dyDescent="0.35">
      <c r="B661" t="str">
        <f t="shared" si="96"/>
        <v>iBoxx MSCI EUR High Yield Paris Aligned Capped TCA Index (12/31/2020-11/30/2022 -- pre-trajectory rebase)57</v>
      </c>
      <c r="C661" t="s">
        <v>551</v>
      </c>
      <c r="D661" t="s">
        <v>238</v>
      </c>
      <c r="E661" t="s">
        <v>541</v>
      </c>
      <c r="F661">
        <v>57</v>
      </c>
      <c r="G661" t="s">
        <v>535</v>
      </c>
      <c r="H661" s="26">
        <v>45930</v>
      </c>
      <c r="I661" s="131"/>
      <c r="J661" s="131"/>
      <c r="K661" s="131"/>
      <c r="L661" s="131"/>
      <c r="M661" s="131"/>
      <c r="N661" s="131"/>
      <c r="O661" s="132"/>
      <c r="P661" s="155" t="s">
        <v>542</v>
      </c>
    </row>
    <row r="662" spans="2:16" ht="15" x14ac:dyDescent="0.35">
      <c r="B662" t="str">
        <f t="shared" si="96"/>
        <v>iBoxx MSCI EUR High Yield Paris Aligned Capped TCA Index (12/31/2020-11/30/2022 -- pre-trajectory rebase)58</v>
      </c>
      <c r="C662" t="s">
        <v>551</v>
      </c>
      <c r="D662" t="s">
        <v>238</v>
      </c>
      <c r="E662" t="s">
        <v>541</v>
      </c>
      <c r="F662">
        <v>58</v>
      </c>
      <c r="G662" t="s">
        <v>535</v>
      </c>
      <c r="H662" s="26">
        <v>45961</v>
      </c>
      <c r="I662" s="131"/>
      <c r="J662" s="131"/>
      <c r="K662" s="131"/>
      <c r="L662" s="131"/>
      <c r="M662" s="131"/>
      <c r="N662" s="131"/>
      <c r="O662" s="132"/>
      <c r="P662" s="155" t="s">
        <v>542</v>
      </c>
    </row>
    <row r="663" spans="2:16" ht="15" x14ac:dyDescent="0.35">
      <c r="B663" t="str">
        <f t="shared" si="96"/>
        <v>iBoxx MSCI EUR High Yield Paris Aligned Capped TCA Index (12/31/2020-11/30/2022 -- pre-trajectory rebase)59</v>
      </c>
      <c r="C663" t="s">
        <v>551</v>
      </c>
      <c r="D663" t="s">
        <v>238</v>
      </c>
      <c r="E663" t="s">
        <v>541</v>
      </c>
      <c r="F663">
        <v>59</v>
      </c>
      <c r="G663" t="s">
        <v>535</v>
      </c>
      <c r="H663" s="26">
        <v>45991</v>
      </c>
      <c r="I663" s="131"/>
      <c r="J663" s="131"/>
      <c r="K663" s="131"/>
      <c r="L663" s="131"/>
      <c r="M663" s="131"/>
      <c r="N663" s="131"/>
      <c r="O663" s="132"/>
      <c r="P663" s="155" t="s">
        <v>542</v>
      </c>
    </row>
    <row r="664" spans="2:16" ht="15" x14ac:dyDescent="0.35">
      <c r="B664" t="str">
        <f t="shared" si="96"/>
        <v>iBoxx MSCI EUR High Yield Paris Aligned Capped TCA Index (12/31/2020-11/30/2022 -- pre-trajectory rebase)60</v>
      </c>
      <c r="C664" t="s">
        <v>551</v>
      </c>
      <c r="D664" t="s">
        <v>238</v>
      </c>
      <c r="E664" t="s">
        <v>541</v>
      </c>
      <c r="F664">
        <v>60</v>
      </c>
      <c r="G664" t="s">
        <v>535</v>
      </c>
      <c r="H664" s="26">
        <v>46022</v>
      </c>
      <c r="I664" s="131"/>
      <c r="J664" s="131"/>
      <c r="K664" s="131"/>
      <c r="L664" s="131"/>
      <c r="M664" s="131"/>
      <c r="N664" s="131"/>
      <c r="O664" s="132"/>
      <c r="P664" s="155" t="s">
        <v>542</v>
      </c>
    </row>
    <row r="665" spans="2:16" ht="15" x14ac:dyDescent="0.35">
      <c r="B665" t="str">
        <f t="shared" si="96"/>
        <v>iBoxx MSCI EUR High Yield Paris Aligned Capped TCA Index (12/31/2020-11/30/2022 -- pre-trajectory rebase)61</v>
      </c>
      <c r="C665" t="s">
        <v>551</v>
      </c>
      <c r="D665" t="s">
        <v>238</v>
      </c>
      <c r="E665" t="s">
        <v>541</v>
      </c>
      <c r="F665">
        <v>61</v>
      </c>
      <c r="G665" t="s">
        <v>535</v>
      </c>
      <c r="H665" s="26">
        <v>46053</v>
      </c>
      <c r="I665" s="131"/>
      <c r="J665" s="131"/>
      <c r="K665" s="131"/>
      <c r="L665" s="131"/>
      <c r="M665" s="131"/>
      <c r="N665" s="131"/>
      <c r="O665" s="132"/>
      <c r="P665" s="155" t="s">
        <v>542</v>
      </c>
    </row>
    <row r="666" spans="2:16" ht="15" x14ac:dyDescent="0.35">
      <c r="B666" t="str">
        <f t="shared" si="96"/>
        <v>iBoxx MSCI EUR High Yield Paris Aligned Capped TCA Index (12/31/2020-11/30/2022 -- pre-trajectory rebase)62</v>
      </c>
      <c r="C666" t="s">
        <v>551</v>
      </c>
      <c r="D666" t="s">
        <v>238</v>
      </c>
      <c r="E666" t="s">
        <v>541</v>
      </c>
      <c r="F666">
        <v>62</v>
      </c>
      <c r="G666" t="s">
        <v>535</v>
      </c>
      <c r="H666" s="26">
        <v>46081</v>
      </c>
      <c r="I666" s="131"/>
      <c r="J666" s="131"/>
      <c r="K666" s="131"/>
      <c r="L666" s="131"/>
      <c r="M666" s="131"/>
      <c r="N666" s="131"/>
      <c r="O666" s="132"/>
      <c r="P666" s="155" t="s">
        <v>542</v>
      </c>
    </row>
    <row r="667" spans="2:16" ht="15" x14ac:dyDescent="0.35">
      <c r="B667" t="str">
        <f t="shared" si="96"/>
        <v>iBoxx MSCI EUR High Yield Paris Aligned Capped TCA Index (12/31/2020-11/30/2022 -- pre-trajectory rebase)63</v>
      </c>
      <c r="C667" t="s">
        <v>551</v>
      </c>
      <c r="D667" t="s">
        <v>238</v>
      </c>
      <c r="E667" t="s">
        <v>541</v>
      </c>
      <c r="F667">
        <v>63</v>
      </c>
      <c r="G667" t="s">
        <v>535</v>
      </c>
      <c r="H667" s="26">
        <v>46112</v>
      </c>
      <c r="I667" s="131"/>
      <c r="J667" s="131"/>
      <c r="K667" s="131"/>
      <c r="L667" s="131"/>
      <c r="M667" s="131"/>
      <c r="N667" s="131"/>
      <c r="O667" s="132"/>
      <c r="P667" s="155" t="s">
        <v>542</v>
      </c>
    </row>
    <row r="668" spans="2:16" ht="15" x14ac:dyDescent="0.35">
      <c r="B668" t="str">
        <f t="shared" si="96"/>
        <v>iBoxx MSCI EUR High Yield Paris Aligned Capped TCA Index (12/31/2020-11/30/2022 -- pre-trajectory rebase)64</v>
      </c>
      <c r="C668" t="s">
        <v>551</v>
      </c>
      <c r="D668" t="s">
        <v>238</v>
      </c>
      <c r="E668" t="s">
        <v>541</v>
      </c>
      <c r="F668">
        <v>64</v>
      </c>
      <c r="G668" t="s">
        <v>535</v>
      </c>
      <c r="H668" s="26">
        <v>46142</v>
      </c>
      <c r="I668" s="131"/>
      <c r="J668" s="131"/>
      <c r="K668" s="131"/>
      <c r="L668" s="131"/>
      <c r="M668" s="131"/>
      <c r="N668" s="131"/>
      <c r="O668" s="132"/>
      <c r="P668" s="155" t="s">
        <v>542</v>
      </c>
    </row>
    <row r="669" spans="2:16" ht="15" x14ac:dyDescent="0.35">
      <c r="B669" t="str">
        <f t="shared" ref="B669:B724" si="101">_xlfn.CONCAT(C669,F669)</f>
        <v>iBoxx MSCI EUR High Yield Paris Aligned Capped TCA Index (12/31/2020-11/30/2022 -- pre-trajectory rebase)65</v>
      </c>
      <c r="C669" t="s">
        <v>551</v>
      </c>
      <c r="D669" t="s">
        <v>238</v>
      </c>
      <c r="E669" t="s">
        <v>541</v>
      </c>
      <c r="F669">
        <v>65</v>
      </c>
      <c r="G669" t="s">
        <v>535</v>
      </c>
      <c r="H669" s="26">
        <v>46173</v>
      </c>
      <c r="I669" s="131"/>
      <c r="J669" s="131"/>
      <c r="K669" s="131"/>
      <c r="L669" s="131"/>
      <c r="M669" s="131"/>
      <c r="N669" s="131"/>
      <c r="O669" s="132"/>
      <c r="P669" s="155" t="s">
        <v>542</v>
      </c>
    </row>
    <row r="670" spans="2:16" ht="15" x14ac:dyDescent="0.35">
      <c r="B670" t="str">
        <f t="shared" si="101"/>
        <v>iBoxx MSCI EUR High Yield Paris Aligned Capped TCA Index (12/31/2020-11/30/2022 -- pre-trajectory rebase)66</v>
      </c>
      <c r="C670" t="s">
        <v>551</v>
      </c>
      <c r="D670" t="s">
        <v>238</v>
      </c>
      <c r="E670" t="s">
        <v>541</v>
      </c>
      <c r="F670">
        <v>66</v>
      </c>
      <c r="G670" t="s">
        <v>535</v>
      </c>
      <c r="H670" s="26">
        <v>46203</v>
      </c>
      <c r="I670" s="131"/>
      <c r="J670" s="131"/>
      <c r="K670" s="131"/>
      <c r="L670" s="131"/>
      <c r="M670" s="131"/>
      <c r="N670" s="131"/>
      <c r="O670" s="132"/>
      <c r="P670" s="155" t="s">
        <v>542</v>
      </c>
    </row>
    <row r="671" spans="2:16" ht="15" x14ac:dyDescent="0.35">
      <c r="B671" t="str">
        <f t="shared" si="101"/>
        <v>iBoxx MSCI EUR High Yield Paris Aligned Capped TCA Index (12/31/2020-11/30/2022 -- pre-trajectory rebase)67</v>
      </c>
      <c r="C671" t="s">
        <v>551</v>
      </c>
      <c r="D671" t="s">
        <v>238</v>
      </c>
      <c r="E671" t="s">
        <v>541</v>
      </c>
      <c r="F671">
        <v>67</v>
      </c>
      <c r="G671" t="s">
        <v>535</v>
      </c>
      <c r="H671" s="26">
        <v>46234</v>
      </c>
      <c r="I671" s="131"/>
      <c r="J671" s="131"/>
      <c r="K671" s="131"/>
      <c r="L671" s="131"/>
      <c r="M671" s="131"/>
      <c r="N671" s="131"/>
      <c r="O671" s="132"/>
      <c r="P671" s="155" t="s">
        <v>542</v>
      </c>
    </row>
    <row r="672" spans="2:16" ht="15" x14ac:dyDescent="0.35">
      <c r="B672" t="str">
        <f t="shared" si="101"/>
        <v>iBoxx MSCI EUR High Yield Paris Aligned Capped TCA Index (12/31/2020-11/30/2022 -- pre-trajectory rebase)68</v>
      </c>
      <c r="C672" t="s">
        <v>551</v>
      </c>
      <c r="D672" t="s">
        <v>238</v>
      </c>
      <c r="E672" t="s">
        <v>541</v>
      </c>
      <c r="F672">
        <v>68</v>
      </c>
      <c r="G672" t="s">
        <v>535</v>
      </c>
      <c r="H672" s="26">
        <v>46265</v>
      </c>
      <c r="I672" s="131"/>
      <c r="J672" s="131"/>
      <c r="K672" s="131"/>
      <c r="L672" s="131"/>
      <c r="M672" s="131"/>
      <c r="N672" s="131"/>
      <c r="O672" s="132"/>
      <c r="P672" s="155" t="s">
        <v>542</v>
      </c>
    </row>
    <row r="673" spans="2:16" ht="15" x14ac:dyDescent="0.35">
      <c r="B673" t="str">
        <f t="shared" si="101"/>
        <v>iBoxx MSCI EUR High Yield Paris Aligned Capped TCA Index (12/31/2020-11/30/2022 -- pre-trajectory rebase)69</v>
      </c>
      <c r="C673" t="s">
        <v>551</v>
      </c>
      <c r="D673" t="s">
        <v>238</v>
      </c>
      <c r="E673" t="s">
        <v>541</v>
      </c>
      <c r="F673">
        <v>69</v>
      </c>
      <c r="G673" t="s">
        <v>535</v>
      </c>
      <c r="H673" s="26">
        <v>46295</v>
      </c>
      <c r="I673" s="131"/>
      <c r="J673" s="131"/>
      <c r="K673" s="131"/>
      <c r="L673" s="131"/>
      <c r="M673" s="131"/>
      <c r="N673" s="131"/>
      <c r="O673" s="132"/>
      <c r="P673" s="155" t="s">
        <v>542</v>
      </c>
    </row>
    <row r="674" spans="2:16" ht="15" x14ac:dyDescent="0.35">
      <c r="B674" t="str">
        <f t="shared" si="101"/>
        <v>iBoxx MSCI EUR High Yield Paris Aligned Capped TCA Index (12/31/2020-11/30/2022 -- pre-trajectory rebase)70</v>
      </c>
      <c r="C674" t="s">
        <v>551</v>
      </c>
      <c r="D674" t="s">
        <v>238</v>
      </c>
      <c r="E674" t="s">
        <v>541</v>
      </c>
      <c r="F674">
        <v>70</v>
      </c>
      <c r="G674" t="s">
        <v>535</v>
      </c>
      <c r="H674" s="26">
        <v>46326</v>
      </c>
      <c r="I674" s="131"/>
      <c r="J674" s="131"/>
      <c r="K674" s="131"/>
      <c r="L674" s="131"/>
      <c r="M674" s="131"/>
      <c r="N674" s="131"/>
      <c r="O674" s="132"/>
      <c r="P674" s="155" t="s">
        <v>542</v>
      </c>
    </row>
    <row r="675" spans="2:16" ht="15" x14ac:dyDescent="0.35">
      <c r="B675" t="str">
        <f t="shared" si="101"/>
        <v>iBoxx MSCI EUR High Yield Paris Aligned Capped TCA Index (12/31/2020-11/30/2022 -- pre-trajectory rebase)71</v>
      </c>
      <c r="C675" t="s">
        <v>551</v>
      </c>
      <c r="D675" t="s">
        <v>238</v>
      </c>
      <c r="E675" t="s">
        <v>541</v>
      </c>
      <c r="F675">
        <v>71</v>
      </c>
      <c r="G675" t="s">
        <v>535</v>
      </c>
      <c r="H675" s="26">
        <v>46356</v>
      </c>
      <c r="I675" s="131"/>
      <c r="J675" s="131"/>
      <c r="K675" s="131"/>
      <c r="L675" s="131"/>
      <c r="M675" s="131"/>
      <c r="N675" s="131"/>
      <c r="O675" s="132"/>
      <c r="P675" s="155" t="s">
        <v>542</v>
      </c>
    </row>
    <row r="676" spans="2:16" ht="15" x14ac:dyDescent="0.35">
      <c r="B676" t="str">
        <f t="shared" si="101"/>
        <v>iBoxx MSCI EUR High Yield Paris Aligned Capped TCA Index (12/31/2020-11/30/2022 -- pre-trajectory rebase)72</v>
      </c>
      <c r="C676" t="s">
        <v>551</v>
      </c>
      <c r="D676" t="s">
        <v>238</v>
      </c>
      <c r="E676" t="s">
        <v>541</v>
      </c>
      <c r="F676">
        <v>72</v>
      </c>
      <c r="G676" t="s">
        <v>535</v>
      </c>
      <c r="H676" s="26">
        <v>46387</v>
      </c>
      <c r="I676" s="131"/>
      <c r="J676" s="131"/>
      <c r="K676" s="131"/>
      <c r="L676" s="131"/>
      <c r="M676" s="131"/>
      <c r="N676" s="131"/>
      <c r="O676" s="132"/>
      <c r="P676" s="155" t="s">
        <v>542</v>
      </c>
    </row>
    <row r="677" spans="2:16" ht="15" x14ac:dyDescent="0.35">
      <c r="B677" t="str">
        <f t="shared" si="101"/>
        <v>iBoxx MSCI EUR High Yield Paris Aligned Capped TCA Index (12/31/2020-11/30/2022 -- pre-trajectory rebase)73</v>
      </c>
      <c r="C677" t="s">
        <v>551</v>
      </c>
      <c r="D677" t="s">
        <v>238</v>
      </c>
      <c r="E677" t="s">
        <v>541</v>
      </c>
      <c r="F677">
        <v>73</v>
      </c>
      <c r="G677" t="s">
        <v>535</v>
      </c>
      <c r="H677" s="26">
        <v>46418</v>
      </c>
      <c r="I677" s="131"/>
      <c r="J677" s="131"/>
      <c r="K677" s="131"/>
      <c r="L677" s="131"/>
      <c r="M677" s="131"/>
      <c r="N677" s="131"/>
      <c r="O677" s="132"/>
      <c r="P677" s="155" t="s">
        <v>542</v>
      </c>
    </row>
    <row r="678" spans="2:16" ht="15" x14ac:dyDescent="0.35">
      <c r="B678" t="str">
        <f t="shared" si="101"/>
        <v>iBoxx MSCI EUR High Yield Paris Aligned Capped TCA Index (12/31/2020-11/30/2022 -- pre-trajectory rebase)74</v>
      </c>
      <c r="C678" t="s">
        <v>551</v>
      </c>
      <c r="D678" t="s">
        <v>238</v>
      </c>
      <c r="E678" t="s">
        <v>541</v>
      </c>
      <c r="F678">
        <v>74</v>
      </c>
      <c r="G678" t="s">
        <v>535</v>
      </c>
      <c r="H678" s="26">
        <v>46446</v>
      </c>
      <c r="I678" s="131"/>
      <c r="J678" s="131"/>
      <c r="K678" s="131"/>
      <c r="L678" s="131"/>
      <c r="M678" s="131"/>
      <c r="N678" s="131"/>
      <c r="O678" s="132"/>
      <c r="P678" s="155" t="s">
        <v>542</v>
      </c>
    </row>
    <row r="679" spans="2:16" ht="15" x14ac:dyDescent="0.35">
      <c r="B679" t="str">
        <f t="shared" si="101"/>
        <v>iBoxx MSCI EUR High Yield Paris Aligned Capped TCA Index (12/31/2020-11/30/2022 -- pre-trajectory rebase)75</v>
      </c>
      <c r="C679" t="s">
        <v>551</v>
      </c>
      <c r="D679" t="s">
        <v>238</v>
      </c>
      <c r="E679" t="s">
        <v>541</v>
      </c>
      <c r="F679">
        <v>75</v>
      </c>
      <c r="G679" t="s">
        <v>535</v>
      </c>
      <c r="H679" s="26">
        <v>46477</v>
      </c>
      <c r="I679" s="131"/>
      <c r="J679" s="131"/>
      <c r="K679" s="131"/>
      <c r="L679" s="131"/>
      <c r="M679" s="131"/>
      <c r="N679" s="131"/>
      <c r="O679" s="132"/>
      <c r="P679" s="155" t="s">
        <v>542</v>
      </c>
    </row>
    <row r="680" spans="2:16" ht="15" x14ac:dyDescent="0.35">
      <c r="B680" t="str">
        <f t="shared" si="101"/>
        <v>iBoxx MSCI EUR High Yield Paris Aligned Capped TCA Index (12/31/2020-11/30/2022 -- pre-trajectory rebase)76</v>
      </c>
      <c r="C680" t="s">
        <v>551</v>
      </c>
      <c r="D680" t="s">
        <v>238</v>
      </c>
      <c r="E680" t="s">
        <v>541</v>
      </c>
      <c r="F680">
        <v>76</v>
      </c>
      <c r="G680" t="s">
        <v>535</v>
      </c>
      <c r="H680" s="26">
        <v>46507</v>
      </c>
      <c r="I680" s="131"/>
      <c r="J680" s="131"/>
      <c r="K680" s="131"/>
      <c r="L680" s="131"/>
      <c r="M680" s="131"/>
      <c r="N680" s="131"/>
      <c r="O680" s="132"/>
      <c r="P680" s="155" t="s">
        <v>542</v>
      </c>
    </row>
    <row r="681" spans="2:16" ht="15" x14ac:dyDescent="0.35">
      <c r="B681" t="str">
        <f t="shared" si="101"/>
        <v>iBoxx MSCI EUR High Yield Paris Aligned Capped TCA Index (12/31/2020-11/30/2022 -- pre-trajectory rebase)77</v>
      </c>
      <c r="C681" t="s">
        <v>551</v>
      </c>
      <c r="D681" t="s">
        <v>238</v>
      </c>
      <c r="E681" t="s">
        <v>541</v>
      </c>
      <c r="F681">
        <v>77</v>
      </c>
      <c r="G681" t="s">
        <v>535</v>
      </c>
      <c r="H681" s="26">
        <v>46538</v>
      </c>
      <c r="I681" s="131"/>
      <c r="J681" s="131"/>
      <c r="K681" s="131"/>
      <c r="L681" s="131"/>
      <c r="M681" s="131"/>
      <c r="N681" s="131"/>
      <c r="O681" s="132"/>
      <c r="P681" s="155" t="s">
        <v>542</v>
      </c>
    </row>
    <row r="682" spans="2:16" ht="15" x14ac:dyDescent="0.35">
      <c r="B682" t="str">
        <f t="shared" si="101"/>
        <v>iBoxx MSCI EUR High Yield Paris Aligned Capped TCA Index (12/31/2020-11/30/2022 -- pre-trajectory rebase)78</v>
      </c>
      <c r="C682" t="s">
        <v>551</v>
      </c>
      <c r="D682" t="s">
        <v>238</v>
      </c>
      <c r="E682" t="s">
        <v>541</v>
      </c>
      <c r="F682">
        <v>78</v>
      </c>
      <c r="G682" t="s">
        <v>535</v>
      </c>
      <c r="H682" s="26">
        <v>46568</v>
      </c>
      <c r="I682" s="131"/>
      <c r="J682" s="131"/>
      <c r="K682" s="131"/>
      <c r="L682" s="131"/>
      <c r="M682" s="131"/>
      <c r="N682" s="131"/>
      <c r="O682" s="132"/>
      <c r="P682" s="155" t="s">
        <v>542</v>
      </c>
    </row>
    <row r="683" spans="2:16" ht="15" x14ac:dyDescent="0.35">
      <c r="B683" t="str">
        <f t="shared" si="101"/>
        <v>iBoxx MSCI EUR High Yield Paris Aligned Capped TCA Index (12/31/2020-11/30/2022 -- pre-trajectory rebase)79</v>
      </c>
      <c r="C683" t="s">
        <v>551</v>
      </c>
      <c r="D683" t="s">
        <v>238</v>
      </c>
      <c r="E683" t="s">
        <v>541</v>
      </c>
      <c r="F683">
        <v>79</v>
      </c>
      <c r="G683" t="s">
        <v>535</v>
      </c>
      <c r="H683" s="26">
        <v>46599</v>
      </c>
      <c r="I683" s="131"/>
      <c r="J683" s="131"/>
      <c r="K683" s="131"/>
      <c r="L683" s="131"/>
      <c r="M683" s="131"/>
      <c r="N683" s="131"/>
      <c r="O683" s="132"/>
      <c r="P683" s="155" t="s">
        <v>542</v>
      </c>
    </row>
    <row r="684" spans="2:16" ht="15" x14ac:dyDescent="0.35">
      <c r="B684" t="str">
        <f t="shared" si="101"/>
        <v>iBoxx MSCI EUR High Yield Paris Aligned Capped TCA Index (12/31/2020-11/30/2022 -- pre-trajectory rebase)80</v>
      </c>
      <c r="C684" t="s">
        <v>551</v>
      </c>
      <c r="D684" t="s">
        <v>238</v>
      </c>
      <c r="E684" t="s">
        <v>541</v>
      </c>
      <c r="F684">
        <v>80</v>
      </c>
      <c r="G684" t="s">
        <v>535</v>
      </c>
      <c r="H684" s="26">
        <v>46630</v>
      </c>
      <c r="I684" s="131"/>
      <c r="J684" s="131"/>
      <c r="K684" s="131"/>
      <c r="L684" s="131"/>
      <c r="M684" s="131"/>
      <c r="N684" s="131"/>
      <c r="O684" s="132"/>
      <c r="P684" s="155" t="s">
        <v>542</v>
      </c>
    </row>
    <row r="685" spans="2:16" ht="15" x14ac:dyDescent="0.35">
      <c r="B685" t="str">
        <f t="shared" si="101"/>
        <v>iBoxx MSCI EUR High Yield Paris Aligned Capped TCA Index (12/31/2020-11/30/2022 -- pre-trajectory rebase)81</v>
      </c>
      <c r="C685" t="s">
        <v>551</v>
      </c>
      <c r="D685" t="s">
        <v>238</v>
      </c>
      <c r="E685" t="s">
        <v>541</v>
      </c>
      <c r="F685">
        <v>81</v>
      </c>
      <c r="G685" t="s">
        <v>535</v>
      </c>
      <c r="H685" s="26">
        <v>46660</v>
      </c>
      <c r="I685" s="131"/>
      <c r="J685" s="131"/>
      <c r="K685" s="131"/>
      <c r="L685" s="131"/>
      <c r="M685" s="131"/>
      <c r="N685" s="131"/>
      <c r="O685" s="132"/>
      <c r="P685" s="155" t="s">
        <v>542</v>
      </c>
    </row>
    <row r="686" spans="2:16" ht="15" x14ac:dyDescent="0.35">
      <c r="B686" t="str">
        <f t="shared" si="101"/>
        <v>iBoxx MSCI EUR High Yield Paris Aligned Capped TCA Index (12/31/2020-11/30/2022 -- pre-trajectory rebase)82</v>
      </c>
      <c r="C686" t="s">
        <v>551</v>
      </c>
      <c r="D686" t="s">
        <v>238</v>
      </c>
      <c r="E686" t="s">
        <v>541</v>
      </c>
      <c r="F686">
        <v>82</v>
      </c>
      <c r="G686" t="s">
        <v>535</v>
      </c>
      <c r="H686" s="26">
        <v>46691</v>
      </c>
      <c r="I686" s="131"/>
      <c r="J686" s="131"/>
      <c r="K686" s="131"/>
      <c r="L686" s="131"/>
      <c r="M686" s="131"/>
      <c r="N686" s="131"/>
      <c r="O686" s="132"/>
      <c r="P686" s="155" t="s">
        <v>542</v>
      </c>
    </row>
    <row r="687" spans="2:16" ht="15" x14ac:dyDescent="0.35">
      <c r="B687" t="str">
        <f t="shared" si="101"/>
        <v>iBoxx MSCI EUR High Yield Paris Aligned Capped TCA Index (12/31/2020-11/30/2022 -- pre-trajectory rebase)83</v>
      </c>
      <c r="C687" t="s">
        <v>551</v>
      </c>
      <c r="D687" t="s">
        <v>238</v>
      </c>
      <c r="E687" t="s">
        <v>541</v>
      </c>
      <c r="F687">
        <v>83</v>
      </c>
      <c r="G687" t="s">
        <v>535</v>
      </c>
      <c r="H687" s="26">
        <v>46721</v>
      </c>
      <c r="I687" s="131"/>
      <c r="J687" s="131"/>
      <c r="K687" s="131"/>
      <c r="L687" s="131"/>
      <c r="M687" s="131"/>
      <c r="N687" s="131"/>
      <c r="O687" s="132"/>
      <c r="P687" s="155" t="s">
        <v>542</v>
      </c>
    </row>
    <row r="688" spans="2:16" ht="15" x14ac:dyDescent="0.35">
      <c r="B688" t="str">
        <f t="shared" si="101"/>
        <v>iBoxx MSCI EUR High Yield Paris Aligned Capped TCA Index (12/31/2020-11/30/2022 -- pre-trajectory rebase)84</v>
      </c>
      <c r="C688" t="s">
        <v>551</v>
      </c>
      <c r="D688" t="s">
        <v>238</v>
      </c>
      <c r="E688" t="s">
        <v>541</v>
      </c>
      <c r="F688">
        <v>84</v>
      </c>
      <c r="G688" t="s">
        <v>535</v>
      </c>
      <c r="H688" s="26">
        <v>46752</v>
      </c>
      <c r="I688" s="131"/>
      <c r="J688" s="131"/>
      <c r="K688" s="131"/>
      <c r="L688" s="131"/>
      <c r="M688" s="131"/>
      <c r="N688" s="131"/>
      <c r="O688" s="132"/>
      <c r="P688" s="155" t="s">
        <v>542</v>
      </c>
    </row>
    <row r="689" spans="2:16" ht="15" x14ac:dyDescent="0.35">
      <c r="B689" t="str">
        <f t="shared" si="101"/>
        <v>iBoxx MSCI EUR High Yield Paris Aligned Capped TCA Index (12/31/2020-11/30/2022 -- pre-trajectory rebase)85</v>
      </c>
      <c r="C689" t="s">
        <v>551</v>
      </c>
      <c r="D689" t="s">
        <v>238</v>
      </c>
      <c r="E689" t="s">
        <v>541</v>
      </c>
      <c r="F689">
        <v>85</v>
      </c>
      <c r="G689" t="s">
        <v>535</v>
      </c>
      <c r="H689" s="26">
        <v>46783</v>
      </c>
      <c r="I689" s="131"/>
      <c r="J689" s="131"/>
      <c r="K689" s="131"/>
      <c r="L689" s="131"/>
      <c r="M689" s="131"/>
      <c r="N689" s="131"/>
      <c r="O689" s="132"/>
      <c r="P689" s="155" t="s">
        <v>542</v>
      </c>
    </row>
    <row r="690" spans="2:16" ht="15" x14ac:dyDescent="0.35">
      <c r="B690" t="str">
        <f t="shared" si="101"/>
        <v>iBoxx MSCI EUR High Yield Paris Aligned Capped TCA Index (12/31/2020-11/30/2022 -- pre-trajectory rebase)86</v>
      </c>
      <c r="C690" t="s">
        <v>551</v>
      </c>
      <c r="D690" t="s">
        <v>238</v>
      </c>
      <c r="E690" t="s">
        <v>541</v>
      </c>
      <c r="F690">
        <v>86</v>
      </c>
      <c r="G690" t="s">
        <v>535</v>
      </c>
      <c r="H690" s="26">
        <v>46811</v>
      </c>
      <c r="I690" s="131"/>
      <c r="J690" s="131"/>
      <c r="K690" s="131"/>
      <c r="L690" s="131"/>
      <c r="M690" s="131"/>
      <c r="N690" s="131"/>
      <c r="O690" s="132"/>
      <c r="P690" s="155" t="s">
        <v>542</v>
      </c>
    </row>
    <row r="691" spans="2:16" ht="15" x14ac:dyDescent="0.35">
      <c r="B691" t="str">
        <f t="shared" si="101"/>
        <v>iBoxx MSCI EUR High Yield Paris Aligned Capped TCA Index (12/31/2020-11/30/2022 -- pre-trajectory rebase)87</v>
      </c>
      <c r="C691" t="s">
        <v>551</v>
      </c>
      <c r="D691" t="s">
        <v>238</v>
      </c>
      <c r="E691" t="s">
        <v>541</v>
      </c>
      <c r="F691">
        <v>87</v>
      </c>
      <c r="G691" t="s">
        <v>535</v>
      </c>
      <c r="H691" s="26">
        <v>46843</v>
      </c>
      <c r="I691" s="131"/>
      <c r="J691" s="131"/>
      <c r="K691" s="131"/>
      <c r="L691" s="131"/>
      <c r="M691" s="131"/>
      <c r="N691" s="131"/>
      <c r="O691" s="132"/>
      <c r="P691" s="155" t="s">
        <v>542</v>
      </c>
    </row>
    <row r="692" spans="2:16" ht="15" x14ac:dyDescent="0.35">
      <c r="B692" t="str">
        <f t="shared" si="101"/>
        <v>iBoxx MSCI EUR High Yield Paris Aligned Capped TCA Index (12/31/2020-11/30/2022 -- pre-trajectory rebase)88</v>
      </c>
      <c r="C692" t="s">
        <v>551</v>
      </c>
      <c r="D692" t="s">
        <v>238</v>
      </c>
      <c r="E692" t="s">
        <v>541</v>
      </c>
      <c r="F692">
        <v>88</v>
      </c>
      <c r="G692" t="s">
        <v>535</v>
      </c>
      <c r="H692" s="26">
        <v>46873</v>
      </c>
      <c r="I692" s="131"/>
      <c r="J692" s="131"/>
      <c r="K692" s="131"/>
      <c r="L692" s="131"/>
      <c r="M692" s="131"/>
      <c r="N692" s="131"/>
      <c r="O692" s="132"/>
      <c r="P692" s="155" t="s">
        <v>542</v>
      </c>
    </row>
    <row r="693" spans="2:16" ht="15" x14ac:dyDescent="0.35">
      <c r="B693" t="str">
        <f t="shared" si="101"/>
        <v>iBoxx MSCI EUR High Yield Paris Aligned Capped TCA Index (12/31/2020-11/30/2022 -- pre-trajectory rebase)89</v>
      </c>
      <c r="C693" t="s">
        <v>551</v>
      </c>
      <c r="D693" t="s">
        <v>238</v>
      </c>
      <c r="E693" t="s">
        <v>541</v>
      </c>
      <c r="F693">
        <v>89</v>
      </c>
      <c r="G693" t="s">
        <v>535</v>
      </c>
      <c r="H693" s="26">
        <v>46904</v>
      </c>
      <c r="I693" s="131"/>
      <c r="J693" s="131"/>
      <c r="K693" s="131"/>
      <c r="L693" s="131"/>
      <c r="M693" s="131"/>
      <c r="N693" s="131"/>
      <c r="O693" s="132"/>
      <c r="P693" s="155" t="s">
        <v>542</v>
      </c>
    </row>
    <row r="694" spans="2:16" ht="15" x14ac:dyDescent="0.35">
      <c r="B694" t="str">
        <f t="shared" si="101"/>
        <v>iBoxx MSCI EUR High Yield Paris Aligned Capped TCA Index (12/31/2020-11/30/2022 -- pre-trajectory rebase)90</v>
      </c>
      <c r="C694" t="s">
        <v>551</v>
      </c>
      <c r="D694" t="s">
        <v>238</v>
      </c>
      <c r="E694" t="s">
        <v>541</v>
      </c>
      <c r="F694">
        <v>90</v>
      </c>
      <c r="G694" t="s">
        <v>535</v>
      </c>
      <c r="H694" s="26">
        <v>46934</v>
      </c>
      <c r="I694" s="131"/>
      <c r="J694" s="131"/>
      <c r="K694" s="131"/>
      <c r="L694" s="131"/>
      <c r="M694" s="131"/>
      <c r="N694" s="131"/>
      <c r="O694" s="132"/>
      <c r="P694" s="155" t="s">
        <v>542</v>
      </c>
    </row>
    <row r="695" spans="2:16" ht="15" x14ac:dyDescent="0.35">
      <c r="B695" t="str">
        <f t="shared" si="101"/>
        <v>iBoxx MSCI EUR High Yield Paris Aligned Capped TCA Index (12/31/2020-11/30/2022 -- pre-trajectory rebase)91</v>
      </c>
      <c r="C695" t="s">
        <v>551</v>
      </c>
      <c r="D695" t="s">
        <v>238</v>
      </c>
      <c r="E695" t="s">
        <v>541</v>
      </c>
      <c r="F695">
        <v>91</v>
      </c>
      <c r="G695" t="s">
        <v>535</v>
      </c>
      <c r="H695" s="26">
        <v>46965</v>
      </c>
      <c r="I695" s="131"/>
      <c r="J695" s="131"/>
      <c r="K695" s="131"/>
      <c r="L695" s="131"/>
      <c r="M695" s="131"/>
      <c r="N695" s="131"/>
      <c r="O695" s="132"/>
      <c r="P695" s="155" t="s">
        <v>542</v>
      </c>
    </row>
    <row r="696" spans="2:16" ht="15" x14ac:dyDescent="0.35">
      <c r="B696" t="str">
        <f t="shared" si="101"/>
        <v>iBoxx MSCI EUR High Yield Paris Aligned Capped TCA Index (12/31/2020-11/30/2022 -- pre-trajectory rebase)92</v>
      </c>
      <c r="C696" t="s">
        <v>551</v>
      </c>
      <c r="D696" t="s">
        <v>238</v>
      </c>
      <c r="E696" t="s">
        <v>541</v>
      </c>
      <c r="F696">
        <v>92</v>
      </c>
      <c r="G696" t="s">
        <v>535</v>
      </c>
      <c r="H696" s="26">
        <v>46996</v>
      </c>
      <c r="I696" s="131"/>
      <c r="J696" s="131"/>
      <c r="K696" s="131"/>
      <c r="L696" s="131"/>
      <c r="M696" s="131"/>
      <c r="N696" s="131"/>
      <c r="O696" s="132"/>
      <c r="P696" s="155" t="s">
        <v>542</v>
      </c>
    </row>
    <row r="697" spans="2:16" ht="15" x14ac:dyDescent="0.35">
      <c r="B697" t="str">
        <f t="shared" si="101"/>
        <v>iBoxx MSCI EUR High Yield Paris Aligned Capped TCA Index (12/31/2020-11/30/2022 -- pre-trajectory rebase)93</v>
      </c>
      <c r="C697" t="s">
        <v>551</v>
      </c>
      <c r="D697" t="s">
        <v>238</v>
      </c>
      <c r="E697" t="s">
        <v>541</v>
      </c>
      <c r="F697">
        <v>93</v>
      </c>
      <c r="G697" t="s">
        <v>535</v>
      </c>
      <c r="H697" s="26">
        <v>47026</v>
      </c>
      <c r="I697" s="131"/>
      <c r="J697" s="131"/>
      <c r="K697" s="131"/>
      <c r="L697" s="131"/>
      <c r="M697" s="131"/>
      <c r="N697" s="131"/>
      <c r="O697" s="132"/>
      <c r="P697" s="155" t="s">
        <v>542</v>
      </c>
    </row>
    <row r="698" spans="2:16" ht="15" x14ac:dyDescent="0.35">
      <c r="B698" t="str">
        <f t="shared" si="101"/>
        <v>iBoxx MSCI EUR High Yield Paris Aligned Capped TCA Index (12/31/2020-11/30/2022 -- pre-trajectory rebase)94</v>
      </c>
      <c r="C698" t="s">
        <v>551</v>
      </c>
      <c r="D698" t="s">
        <v>238</v>
      </c>
      <c r="E698" t="s">
        <v>541</v>
      </c>
      <c r="F698">
        <v>94</v>
      </c>
      <c r="G698" t="s">
        <v>535</v>
      </c>
      <c r="H698" s="26">
        <v>47057</v>
      </c>
      <c r="I698" s="131"/>
      <c r="J698" s="131"/>
      <c r="K698" s="131"/>
      <c r="L698" s="131"/>
      <c r="M698" s="131"/>
      <c r="N698" s="131"/>
      <c r="O698" s="132"/>
      <c r="P698" s="155" t="s">
        <v>542</v>
      </c>
    </row>
    <row r="699" spans="2:16" ht="15" x14ac:dyDescent="0.35">
      <c r="B699" t="str">
        <f t="shared" si="101"/>
        <v>iBoxx MSCI EUR High Yield Paris Aligned Capped TCA Index (12/31/2020-11/30/2022 -- pre-trajectory rebase)95</v>
      </c>
      <c r="C699" t="s">
        <v>551</v>
      </c>
      <c r="D699" t="s">
        <v>238</v>
      </c>
      <c r="E699" t="s">
        <v>541</v>
      </c>
      <c r="F699">
        <v>95</v>
      </c>
      <c r="G699" t="s">
        <v>535</v>
      </c>
      <c r="H699" s="26">
        <v>47087</v>
      </c>
      <c r="I699" s="131"/>
      <c r="J699" s="131"/>
      <c r="K699" s="131"/>
      <c r="L699" s="131"/>
      <c r="M699" s="131"/>
      <c r="N699" s="131"/>
      <c r="O699" s="132"/>
      <c r="P699" s="155" t="s">
        <v>542</v>
      </c>
    </row>
    <row r="700" spans="2:16" ht="15" x14ac:dyDescent="0.35">
      <c r="B700" t="str">
        <f t="shared" si="101"/>
        <v>iBoxx MSCI EUR High Yield Paris Aligned Capped TCA Index (12/31/2020-11/30/2022 -- pre-trajectory rebase)96</v>
      </c>
      <c r="C700" t="s">
        <v>551</v>
      </c>
      <c r="D700" t="s">
        <v>238</v>
      </c>
      <c r="E700" t="s">
        <v>541</v>
      </c>
      <c r="F700">
        <v>96</v>
      </c>
      <c r="G700" t="s">
        <v>535</v>
      </c>
      <c r="H700" s="26">
        <v>47118</v>
      </c>
      <c r="I700" s="131"/>
      <c r="J700" s="131"/>
      <c r="K700" s="131"/>
      <c r="L700" s="131"/>
      <c r="M700" s="131"/>
      <c r="N700" s="131"/>
      <c r="O700" s="132"/>
      <c r="P700" s="155" t="s">
        <v>542</v>
      </c>
    </row>
    <row r="701" spans="2:16" ht="15" x14ac:dyDescent="0.35">
      <c r="B701" t="str">
        <f t="shared" si="101"/>
        <v>iBoxx MSCI EUR High Yield Paris Aligned Capped TCA Index (12/31/2020-11/30/2022 -- pre-trajectory rebase)97</v>
      </c>
      <c r="C701" t="s">
        <v>551</v>
      </c>
      <c r="D701" t="s">
        <v>238</v>
      </c>
      <c r="E701" t="s">
        <v>541</v>
      </c>
      <c r="F701">
        <v>97</v>
      </c>
      <c r="G701" t="s">
        <v>535</v>
      </c>
      <c r="H701" s="26">
        <v>47149</v>
      </c>
      <c r="I701" s="131"/>
      <c r="J701" s="131"/>
      <c r="K701" s="131"/>
      <c r="L701" s="131"/>
      <c r="M701" s="131"/>
      <c r="N701" s="131"/>
      <c r="O701" s="132"/>
      <c r="P701" s="155" t="s">
        <v>542</v>
      </c>
    </row>
    <row r="702" spans="2:16" ht="15" x14ac:dyDescent="0.35">
      <c r="B702" t="str">
        <f t="shared" si="101"/>
        <v>iBoxx MSCI EUR High Yield Paris Aligned Capped TCA Index (12/31/2020-11/30/2022 -- pre-trajectory rebase)98</v>
      </c>
      <c r="C702" t="s">
        <v>551</v>
      </c>
      <c r="D702" t="s">
        <v>238</v>
      </c>
      <c r="E702" t="s">
        <v>541</v>
      </c>
      <c r="F702">
        <v>98</v>
      </c>
      <c r="G702" t="s">
        <v>535</v>
      </c>
      <c r="H702" s="26">
        <v>47177</v>
      </c>
      <c r="I702" s="131"/>
      <c r="J702" s="131"/>
      <c r="K702" s="131"/>
      <c r="L702" s="131"/>
      <c r="M702" s="131"/>
      <c r="N702" s="131"/>
      <c r="O702" s="132"/>
      <c r="P702" s="155" t="s">
        <v>542</v>
      </c>
    </row>
    <row r="703" spans="2:16" ht="15" x14ac:dyDescent="0.35">
      <c r="B703" t="str">
        <f t="shared" si="101"/>
        <v>iBoxx MSCI EUR High Yield Paris Aligned Capped TCA Index (12/31/2020-11/30/2022 -- pre-trajectory rebase)99</v>
      </c>
      <c r="C703" t="s">
        <v>551</v>
      </c>
      <c r="D703" t="s">
        <v>238</v>
      </c>
      <c r="E703" t="s">
        <v>541</v>
      </c>
      <c r="F703">
        <v>99</v>
      </c>
      <c r="G703" t="s">
        <v>535</v>
      </c>
      <c r="H703" s="26">
        <v>47208</v>
      </c>
      <c r="I703" s="131"/>
      <c r="J703" s="131"/>
      <c r="K703" s="131"/>
      <c r="L703" s="131"/>
      <c r="M703" s="131"/>
      <c r="N703" s="131"/>
      <c r="O703" s="132"/>
      <c r="P703" s="155" t="s">
        <v>542</v>
      </c>
    </row>
    <row r="704" spans="2:16" ht="15" x14ac:dyDescent="0.35">
      <c r="B704" t="str">
        <f t="shared" si="101"/>
        <v>iBoxx MSCI EUR High Yield Paris Aligned Capped TCA Index (12/31/2020-11/30/2022 -- pre-trajectory rebase)100</v>
      </c>
      <c r="C704" t="s">
        <v>551</v>
      </c>
      <c r="D704" t="s">
        <v>238</v>
      </c>
      <c r="E704" t="s">
        <v>541</v>
      </c>
      <c r="F704">
        <v>100</v>
      </c>
      <c r="G704" t="s">
        <v>535</v>
      </c>
      <c r="H704" s="26">
        <v>47238</v>
      </c>
      <c r="I704" s="131"/>
      <c r="J704" s="131"/>
      <c r="K704" s="131"/>
      <c r="L704" s="131"/>
      <c r="M704" s="131"/>
      <c r="N704" s="131"/>
      <c r="O704" s="132"/>
      <c r="P704" s="155" t="s">
        <v>542</v>
      </c>
    </row>
    <row r="705" spans="2:16" ht="15" x14ac:dyDescent="0.35">
      <c r="B705" t="str">
        <f t="shared" si="101"/>
        <v>iBoxx MSCI EUR High Yield Paris Aligned Capped TCA Index (12/31/2020-11/30/2022 -- pre-trajectory rebase)101</v>
      </c>
      <c r="C705" t="s">
        <v>551</v>
      </c>
      <c r="D705" t="s">
        <v>238</v>
      </c>
      <c r="E705" t="s">
        <v>541</v>
      </c>
      <c r="F705">
        <v>101</v>
      </c>
      <c r="G705" t="s">
        <v>535</v>
      </c>
      <c r="H705" s="26">
        <v>47269</v>
      </c>
      <c r="I705" s="131"/>
      <c r="J705" s="131"/>
      <c r="K705" s="131"/>
      <c r="L705" s="131"/>
      <c r="M705" s="131"/>
      <c r="N705" s="131"/>
      <c r="O705" s="132"/>
      <c r="P705" s="155" t="s">
        <v>542</v>
      </c>
    </row>
    <row r="706" spans="2:16" ht="15" x14ac:dyDescent="0.35">
      <c r="B706" t="str">
        <f t="shared" si="101"/>
        <v>iBoxx MSCI EUR High Yield Paris Aligned Capped TCA Index (12/31/2020-11/30/2022 -- pre-trajectory rebase)102</v>
      </c>
      <c r="C706" t="s">
        <v>551</v>
      </c>
      <c r="D706" t="s">
        <v>238</v>
      </c>
      <c r="E706" t="s">
        <v>541</v>
      </c>
      <c r="F706">
        <v>102</v>
      </c>
      <c r="G706" t="s">
        <v>535</v>
      </c>
      <c r="H706" s="26">
        <v>47299</v>
      </c>
      <c r="I706" s="131"/>
      <c r="J706" s="131"/>
      <c r="K706" s="131"/>
      <c r="L706" s="131"/>
      <c r="M706" s="131"/>
      <c r="N706" s="131"/>
      <c r="O706" s="132"/>
      <c r="P706" s="155" t="s">
        <v>542</v>
      </c>
    </row>
    <row r="707" spans="2:16" ht="15" x14ac:dyDescent="0.35">
      <c r="B707" t="str">
        <f t="shared" si="101"/>
        <v>iBoxx MSCI EUR High Yield Paris Aligned Capped TCA Index (12/31/2020-11/30/2022 -- pre-trajectory rebase)103</v>
      </c>
      <c r="C707" t="s">
        <v>551</v>
      </c>
      <c r="D707" t="s">
        <v>238</v>
      </c>
      <c r="E707" t="s">
        <v>541</v>
      </c>
      <c r="F707">
        <v>103</v>
      </c>
      <c r="G707" t="s">
        <v>535</v>
      </c>
      <c r="H707" s="26">
        <v>47330</v>
      </c>
      <c r="I707" s="131"/>
      <c r="J707" s="131"/>
      <c r="K707" s="131"/>
      <c r="L707" s="131"/>
      <c r="M707" s="131"/>
      <c r="N707" s="131"/>
      <c r="O707" s="132"/>
      <c r="P707" s="155" t="s">
        <v>542</v>
      </c>
    </row>
    <row r="708" spans="2:16" ht="15" x14ac:dyDescent="0.35">
      <c r="B708" t="str">
        <f t="shared" si="101"/>
        <v>iBoxx MSCI EUR High Yield Paris Aligned Capped TCA Index (12/31/2020-11/30/2022 -- pre-trajectory rebase)104</v>
      </c>
      <c r="C708" t="s">
        <v>551</v>
      </c>
      <c r="D708" t="s">
        <v>238</v>
      </c>
      <c r="E708" t="s">
        <v>541</v>
      </c>
      <c r="F708">
        <v>104</v>
      </c>
      <c r="G708" t="s">
        <v>535</v>
      </c>
      <c r="H708" s="26">
        <v>47361</v>
      </c>
      <c r="I708" s="131"/>
      <c r="J708" s="131"/>
      <c r="K708" s="131"/>
      <c r="L708" s="131"/>
      <c r="M708" s="131"/>
      <c r="N708" s="131"/>
      <c r="O708" s="132"/>
      <c r="P708" s="155" t="s">
        <v>542</v>
      </c>
    </row>
    <row r="709" spans="2:16" ht="15" x14ac:dyDescent="0.35">
      <c r="B709" t="str">
        <f t="shared" si="101"/>
        <v>iBoxx MSCI EUR High Yield Paris Aligned Capped TCA Index (12/31/2020-11/30/2022 -- pre-trajectory rebase)105</v>
      </c>
      <c r="C709" t="s">
        <v>551</v>
      </c>
      <c r="D709" t="s">
        <v>238</v>
      </c>
      <c r="E709" t="s">
        <v>541</v>
      </c>
      <c r="F709">
        <v>105</v>
      </c>
      <c r="G709" t="s">
        <v>535</v>
      </c>
      <c r="H709" s="26">
        <v>47391</v>
      </c>
      <c r="I709" s="131"/>
      <c r="J709" s="131"/>
      <c r="K709" s="131"/>
      <c r="L709" s="131"/>
      <c r="M709" s="131"/>
      <c r="N709" s="131"/>
      <c r="O709" s="132"/>
      <c r="P709" s="155" t="s">
        <v>542</v>
      </c>
    </row>
    <row r="710" spans="2:16" ht="15" x14ac:dyDescent="0.35">
      <c r="B710" t="str">
        <f t="shared" si="101"/>
        <v>iBoxx MSCI EUR High Yield Paris Aligned Capped TCA Index (12/31/2020-11/30/2022 -- pre-trajectory rebase)106</v>
      </c>
      <c r="C710" t="s">
        <v>551</v>
      </c>
      <c r="D710" t="s">
        <v>238</v>
      </c>
      <c r="E710" t="s">
        <v>541</v>
      </c>
      <c r="F710">
        <v>106</v>
      </c>
      <c r="G710" t="s">
        <v>535</v>
      </c>
      <c r="H710" s="26">
        <v>47422</v>
      </c>
      <c r="I710" s="131"/>
      <c r="J710" s="131"/>
      <c r="K710" s="131"/>
      <c r="L710" s="131"/>
      <c r="M710" s="131"/>
      <c r="N710" s="131"/>
      <c r="O710" s="132"/>
      <c r="P710" s="155" t="s">
        <v>542</v>
      </c>
    </row>
    <row r="711" spans="2:16" ht="15" x14ac:dyDescent="0.35">
      <c r="B711" t="str">
        <f t="shared" si="101"/>
        <v>iBoxx MSCI EUR High Yield Paris Aligned Capped TCA Index (12/31/2020-11/30/2022 -- pre-trajectory rebase)107</v>
      </c>
      <c r="C711" t="s">
        <v>551</v>
      </c>
      <c r="D711" t="s">
        <v>238</v>
      </c>
      <c r="E711" t="s">
        <v>541</v>
      </c>
      <c r="F711">
        <v>107</v>
      </c>
      <c r="G711" t="s">
        <v>535</v>
      </c>
      <c r="H711" s="26">
        <v>47452</v>
      </c>
      <c r="I711" s="131"/>
      <c r="J711" s="131"/>
      <c r="K711" s="131"/>
      <c r="L711" s="131"/>
      <c r="M711" s="131"/>
      <c r="N711" s="131"/>
      <c r="O711" s="132"/>
      <c r="P711" s="155" t="s">
        <v>542</v>
      </c>
    </row>
    <row r="712" spans="2:16" ht="15" x14ac:dyDescent="0.35">
      <c r="B712" t="str">
        <f t="shared" si="101"/>
        <v>iBoxx MSCI EUR High Yield Paris Aligned Capped TCA Index (12/31/2020-11/30/2022 -- pre-trajectory rebase)108</v>
      </c>
      <c r="C712" t="s">
        <v>551</v>
      </c>
      <c r="D712" t="s">
        <v>238</v>
      </c>
      <c r="E712" t="s">
        <v>541</v>
      </c>
      <c r="F712">
        <v>108</v>
      </c>
      <c r="G712" t="s">
        <v>535</v>
      </c>
      <c r="H712" s="26">
        <v>47483</v>
      </c>
      <c r="I712" s="131"/>
      <c r="J712" s="131"/>
      <c r="K712" s="131"/>
      <c r="L712" s="131"/>
      <c r="M712" s="131"/>
      <c r="N712" s="131"/>
      <c r="O712" s="132"/>
      <c r="P712" s="155" t="s">
        <v>542</v>
      </c>
    </row>
    <row r="713" spans="2:16" ht="15" x14ac:dyDescent="0.35">
      <c r="B713" t="str">
        <f t="shared" si="101"/>
        <v>iBoxx MSCI EUR High Yield Paris Aligned Capped TCA Index (12/31/2020-11/30/2022 -- pre-trajectory rebase)109</v>
      </c>
      <c r="C713" t="s">
        <v>551</v>
      </c>
      <c r="D713" t="s">
        <v>238</v>
      </c>
      <c r="E713" t="s">
        <v>541</v>
      </c>
      <c r="F713">
        <v>109</v>
      </c>
      <c r="G713" t="s">
        <v>535</v>
      </c>
      <c r="H713" s="26">
        <v>47514</v>
      </c>
      <c r="I713" s="131"/>
      <c r="J713" s="131"/>
      <c r="K713" s="131"/>
      <c r="L713" s="131"/>
      <c r="M713" s="131"/>
      <c r="N713" s="131"/>
      <c r="O713" s="132"/>
      <c r="P713" s="155" t="s">
        <v>542</v>
      </c>
    </row>
    <row r="714" spans="2:16" ht="15" x14ac:dyDescent="0.35">
      <c r="B714" t="str">
        <f t="shared" si="101"/>
        <v>iBoxx MSCI EUR High Yield Paris Aligned Capped TCA Index (12/31/2020-11/30/2022 -- pre-trajectory rebase)110</v>
      </c>
      <c r="C714" t="s">
        <v>551</v>
      </c>
      <c r="D714" t="s">
        <v>238</v>
      </c>
      <c r="E714" t="s">
        <v>541</v>
      </c>
      <c r="F714">
        <v>110</v>
      </c>
      <c r="G714" t="s">
        <v>535</v>
      </c>
      <c r="H714" s="26">
        <v>47542</v>
      </c>
      <c r="I714" s="131"/>
      <c r="J714" s="131"/>
      <c r="K714" s="131"/>
      <c r="L714" s="131"/>
      <c r="M714" s="131"/>
      <c r="N714" s="131"/>
      <c r="O714" s="132"/>
      <c r="P714" s="155" t="s">
        <v>542</v>
      </c>
    </row>
    <row r="715" spans="2:16" ht="15" x14ac:dyDescent="0.35">
      <c r="B715" t="str">
        <f t="shared" si="101"/>
        <v>iBoxx MSCI EUR High Yield Paris Aligned Capped TCA Index (12/31/2020-11/30/2022 -- pre-trajectory rebase)111</v>
      </c>
      <c r="C715" t="s">
        <v>551</v>
      </c>
      <c r="D715" t="s">
        <v>238</v>
      </c>
      <c r="E715" t="s">
        <v>541</v>
      </c>
      <c r="F715">
        <v>111</v>
      </c>
      <c r="G715" t="s">
        <v>535</v>
      </c>
      <c r="H715" s="26">
        <v>47573</v>
      </c>
      <c r="I715" s="131"/>
      <c r="J715" s="131"/>
      <c r="K715" s="131"/>
      <c r="L715" s="131"/>
      <c r="M715" s="131"/>
      <c r="N715" s="131"/>
      <c r="O715" s="132"/>
      <c r="P715" s="155" t="s">
        <v>542</v>
      </c>
    </row>
    <row r="716" spans="2:16" ht="15" x14ac:dyDescent="0.35">
      <c r="B716" t="str">
        <f t="shared" si="101"/>
        <v>iBoxx MSCI EUR High Yield Paris Aligned Capped TCA Index (12/31/2020-11/30/2022 -- pre-trajectory rebase)112</v>
      </c>
      <c r="C716" t="s">
        <v>551</v>
      </c>
      <c r="D716" t="s">
        <v>238</v>
      </c>
      <c r="E716" t="s">
        <v>541</v>
      </c>
      <c r="F716">
        <v>112</v>
      </c>
      <c r="G716" t="s">
        <v>535</v>
      </c>
      <c r="H716" s="26">
        <v>47603</v>
      </c>
      <c r="I716" s="131"/>
      <c r="J716" s="131"/>
      <c r="K716" s="131"/>
      <c r="L716" s="131"/>
      <c r="M716" s="131"/>
      <c r="N716" s="131"/>
      <c r="O716" s="132"/>
      <c r="P716" s="155" t="s">
        <v>542</v>
      </c>
    </row>
    <row r="717" spans="2:16" ht="15" x14ac:dyDescent="0.35">
      <c r="B717" t="str">
        <f t="shared" si="101"/>
        <v>iBoxx MSCI EUR High Yield Paris Aligned Capped TCA Index (12/31/2020-11/30/2022 -- pre-trajectory rebase)113</v>
      </c>
      <c r="C717" t="s">
        <v>551</v>
      </c>
      <c r="D717" t="s">
        <v>238</v>
      </c>
      <c r="E717" t="s">
        <v>541</v>
      </c>
      <c r="F717">
        <v>113</v>
      </c>
      <c r="G717" t="s">
        <v>535</v>
      </c>
      <c r="H717" s="26">
        <v>47634</v>
      </c>
      <c r="I717" s="131"/>
      <c r="J717" s="131"/>
      <c r="K717" s="131"/>
      <c r="L717" s="131"/>
      <c r="M717" s="131"/>
      <c r="N717" s="131"/>
      <c r="O717" s="132"/>
      <c r="P717" s="155" t="s">
        <v>542</v>
      </c>
    </row>
    <row r="718" spans="2:16" ht="15" x14ac:dyDescent="0.35">
      <c r="B718" t="str">
        <f t="shared" si="101"/>
        <v>iBoxx MSCI EUR High Yield Paris Aligned Capped TCA Index (12/31/2020-11/30/2022 -- pre-trajectory rebase)114</v>
      </c>
      <c r="C718" t="s">
        <v>551</v>
      </c>
      <c r="D718" t="s">
        <v>238</v>
      </c>
      <c r="E718" t="s">
        <v>541</v>
      </c>
      <c r="F718">
        <v>114</v>
      </c>
      <c r="G718" t="s">
        <v>535</v>
      </c>
      <c r="H718" s="26">
        <v>47664</v>
      </c>
      <c r="I718" s="131"/>
      <c r="J718" s="131"/>
      <c r="K718" s="131"/>
      <c r="L718" s="131"/>
      <c r="M718" s="131"/>
      <c r="N718" s="131"/>
      <c r="O718" s="132"/>
      <c r="P718" s="155" t="s">
        <v>542</v>
      </c>
    </row>
    <row r="719" spans="2:16" ht="15" x14ac:dyDescent="0.35">
      <c r="B719" t="str">
        <f t="shared" si="101"/>
        <v>iBoxx MSCI EUR High Yield Paris Aligned Capped TCA Index (12/31/2020-11/30/2022 -- pre-trajectory rebase)115</v>
      </c>
      <c r="C719" t="s">
        <v>551</v>
      </c>
      <c r="D719" t="s">
        <v>238</v>
      </c>
      <c r="E719" t="s">
        <v>541</v>
      </c>
      <c r="F719">
        <v>115</v>
      </c>
      <c r="G719" t="s">
        <v>535</v>
      </c>
      <c r="H719" s="26">
        <v>47695</v>
      </c>
      <c r="I719" s="131"/>
      <c r="J719" s="131"/>
      <c r="K719" s="131"/>
      <c r="L719" s="131"/>
      <c r="M719" s="131"/>
      <c r="N719" s="131"/>
      <c r="O719" s="132"/>
      <c r="P719" s="155" t="s">
        <v>542</v>
      </c>
    </row>
    <row r="720" spans="2:16" ht="15" x14ac:dyDescent="0.35">
      <c r="B720" t="str">
        <f t="shared" si="101"/>
        <v>iBoxx MSCI EUR High Yield Paris Aligned Capped TCA Index (12/31/2020-11/30/2022 -- pre-trajectory rebase)116</v>
      </c>
      <c r="C720" t="s">
        <v>551</v>
      </c>
      <c r="D720" t="s">
        <v>238</v>
      </c>
      <c r="E720" t="s">
        <v>541</v>
      </c>
      <c r="F720">
        <v>116</v>
      </c>
      <c r="G720" t="s">
        <v>535</v>
      </c>
      <c r="H720" s="26">
        <v>47726</v>
      </c>
      <c r="I720" s="131"/>
      <c r="J720" s="131"/>
      <c r="K720" s="131"/>
      <c r="L720" s="131"/>
      <c r="M720" s="131"/>
      <c r="N720" s="131"/>
      <c r="O720" s="132"/>
      <c r="P720" s="155" t="s">
        <v>542</v>
      </c>
    </row>
    <row r="721" spans="1:17" ht="15" x14ac:dyDescent="0.35">
      <c r="B721" t="str">
        <f t="shared" si="101"/>
        <v>iBoxx MSCI EUR High Yield Paris Aligned Capped TCA Index (12/31/2020-11/30/2022 -- pre-trajectory rebase)117</v>
      </c>
      <c r="C721" t="s">
        <v>551</v>
      </c>
      <c r="D721" t="s">
        <v>238</v>
      </c>
      <c r="E721" t="s">
        <v>541</v>
      </c>
      <c r="F721">
        <v>117</v>
      </c>
      <c r="G721" t="s">
        <v>535</v>
      </c>
      <c r="H721" s="26">
        <v>47756</v>
      </c>
      <c r="I721" s="131"/>
      <c r="J721" s="131"/>
      <c r="K721" s="131"/>
      <c r="L721" s="131"/>
      <c r="M721" s="131"/>
      <c r="N721" s="131"/>
      <c r="O721" s="132"/>
      <c r="P721" s="155" t="s">
        <v>542</v>
      </c>
    </row>
    <row r="722" spans="1:17" ht="15" x14ac:dyDescent="0.35">
      <c r="B722" t="str">
        <f t="shared" si="101"/>
        <v>iBoxx MSCI EUR High Yield Paris Aligned Capped TCA Index (12/31/2020-11/30/2022 -- pre-trajectory rebase)118</v>
      </c>
      <c r="C722" t="s">
        <v>551</v>
      </c>
      <c r="D722" t="s">
        <v>238</v>
      </c>
      <c r="E722" t="s">
        <v>541</v>
      </c>
      <c r="F722">
        <v>118</v>
      </c>
      <c r="G722" t="s">
        <v>535</v>
      </c>
      <c r="H722" s="26">
        <v>47787</v>
      </c>
      <c r="I722" s="131"/>
      <c r="J722" s="131"/>
      <c r="K722" s="131"/>
      <c r="L722" s="131"/>
      <c r="M722" s="131"/>
      <c r="N722" s="131"/>
      <c r="O722" s="132"/>
      <c r="P722" s="155" t="s">
        <v>542</v>
      </c>
    </row>
    <row r="723" spans="1:17" ht="15" x14ac:dyDescent="0.35">
      <c r="B723" t="str">
        <f t="shared" si="101"/>
        <v>iBoxx MSCI EUR High Yield Paris Aligned Capped TCA Index (12/31/2020-11/30/2022 -- pre-trajectory rebase)119</v>
      </c>
      <c r="C723" t="s">
        <v>551</v>
      </c>
      <c r="D723" t="s">
        <v>238</v>
      </c>
      <c r="E723" t="s">
        <v>541</v>
      </c>
      <c r="F723">
        <v>119</v>
      </c>
      <c r="G723" t="s">
        <v>535</v>
      </c>
      <c r="H723" s="26">
        <v>47817</v>
      </c>
      <c r="I723" s="131"/>
      <c r="J723" s="131"/>
      <c r="K723" s="131"/>
      <c r="L723" s="131"/>
      <c r="M723" s="131"/>
      <c r="N723" s="131"/>
      <c r="O723" s="132"/>
      <c r="P723" s="155" t="s">
        <v>542</v>
      </c>
    </row>
    <row r="724" spans="1:17" ht="15" x14ac:dyDescent="0.35">
      <c r="A724" t="s">
        <v>543</v>
      </c>
      <c r="B724" t="str">
        <f t="shared" si="101"/>
        <v>iBoxx MSCI GBP Corporates Paris Aligned Capped TCA Index (12/31/2020-02/28/2023 -- pre-trajectory rebase)0</v>
      </c>
      <c r="C724" t="s">
        <v>552</v>
      </c>
      <c r="D724" t="s">
        <v>545</v>
      </c>
      <c r="E724" t="s">
        <v>546</v>
      </c>
      <c r="F724">
        <v>0</v>
      </c>
      <c r="G724" t="s">
        <v>535</v>
      </c>
      <c r="H724" s="26">
        <v>44196</v>
      </c>
      <c r="I724" s="129">
        <v>41422240.225901</v>
      </c>
      <c r="J724" s="33">
        <f>IF(G724="PA",I724*0.5,IF(G724="CT",I724*0.7,""))</f>
        <v>20711120.1129505</v>
      </c>
      <c r="K724" s="33">
        <f>VLOOKUP(C724,$C:$K,8,FALSE)*0.93^(F724/12)</f>
        <v>20711120.1129505</v>
      </c>
      <c r="L724" s="33">
        <f>MIN(J724,K724)</f>
        <v>20711120.1129505</v>
      </c>
      <c r="M724" s="33">
        <f t="shared" ref="M724:M738" si="102">L724*0.975</f>
        <v>20193342.110126738</v>
      </c>
      <c r="N724" s="133">
        <v>9579805.1696560495</v>
      </c>
      <c r="O724" s="40">
        <v>0.37028081299999999</v>
      </c>
      <c r="P724" s="155" t="s">
        <v>547</v>
      </c>
      <c r="Q724" t="s">
        <v>549</v>
      </c>
    </row>
    <row r="725" spans="1:17" ht="15" x14ac:dyDescent="0.35">
      <c r="A725" t="s">
        <v>543</v>
      </c>
      <c r="B725" t="str">
        <f t="shared" ref="B725:B788" si="103">_xlfn.CONCAT(C725,F725)</f>
        <v>iBoxx MSCI GBP Corporates Paris Aligned Capped TCA Index (12/31/2020-02/28/2023 -- pre-trajectory rebase)1</v>
      </c>
      <c r="C725" t="s">
        <v>552</v>
      </c>
      <c r="D725" t="s">
        <v>545</v>
      </c>
      <c r="E725" t="s">
        <v>546</v>
      </c>
      <c r="F725">
        <v>1</v>
      </c>
      <c r="G725" t="s">
        <v>535</v>
      </c>
      <c r="H725" s="26">
        <v>44227</v>
      </c>
      <c r="I725" s="129">
        <v>41539378.857176498</v>
      </c>
      <c r="J725" s="33">
        <f t="shared" ref="J725:J738" si="104">IF(G725="PA",I725*0.5,IF(G725="CT",I725*0.7,""))</f>
        <v>20769689.428588249</v>
      </c>
      <c r="K725" s="33">
        <f t="shared" ref="K725:K738" si="105">VLOOKUP(C725,$C:$K,8,FALSE)*0.93^(F725/12)</f>
        <v>20586246.389394965</v>
      </c>
      <c r="L725" s="33">
        <f t="shared" ref="L725:L738" si="106">MIN(J725,K725)</f>
        <v>20586246.389394965</v>
      </c>
      <c r="M725" s="33">
        <f t="shared" si="102"/>
        <v>20071590.22966009</v>
      </c>
      <c r="N725" s="133">
        <v>9283994.4337447099</v>
      </c>
      <c r="O725" s="40">
        <v>0.37055356499999997</v>
      </c>
      <c r="P725" s="155" t="s">
        <v>547</v>
      </c>
      <c r="Q725" t="s">
        <v>549</v>
      </c>
    </row>
    <row r="726" spans="1:17" ht="15" x14ac:dyDescent="0.35">
      <c r="A726" t="s">
        <v>543</v>
      </c>
      <c r="B726" t="str">
        <f t="shared" si="103"/>
        <v>iBoxx MSCI GBP Corporates Paris Aligned Capped TCA Index (12/31/2020-02/28/2023 -- pre-trajectory rebase)2</v>
      </c>
      <c r="C726" t="s">
        <v>552</v>
      </c>
      <c r="D726" t="s">
        <v>545</v>
      </c>
      <c r="E726" t="s">
        <v>546</v>
      </c>
      <c r="F726">
        <v>2</v>
      </c>
      <c r="G726" t="s">
        <v>535</v>
      </c>
      <c r="H726" s="26">
        <v>44255</v>
      </c>
      <c r="I726" s="129">
        <v>42299674.3884781</v>
      </c>
      <c r="J726" s="33">
        <f t="shared" si="104"/>
        <v>21149837.19423905</v>
      </c>
      <c r="K726" s="33">
        <f t="shared" si="105"/>
        <v>20462125.567988109</v>
      </c>
      <c r="L726" s="33">
        <f t="shared" si="106"/>
        <v>20462125.567988109</v>
      </c>
      <c r="M726" s="33">
        <f t="shared" si="102"/>
        <v>19950572.428788405</v>
      </c>
      <c r="N726" s="133">
        <v>9228018.3711455092</v>
      </c>
      <c r="O726" s="40">
        <v>0.360173888</v>
      </c>
      <c r="P726" s="155" t="s">
        <v>547</v>
      </c>
      <c r="Q726" t="s">
        <v>549</v>
      </c>
    </row>
    <row r="727" spans="1:17" ht="15" x14ac:dyDescent="0.35">
      <c r="A727" t="s">
        <v>543</v>
      </c>
      <c r="B727" t="str">
        <f t="shared" si="103"/>
        <v>iBoxx MSCI GBP Corporates Paris Aligned Capped TCA Index (12/31/2020-02/28/2023 -- pre-trajectory rebase)3</v>
      </c>
      <c r="C727" t="s">
        <v>552</v>
      </c>
      <c r="D727" t="s">
        <v>545</v>
      </c>
      <c r="E727" t="s">
        <v>546</v>
      </c>
      <c r="F727">
        <v>3</v>
      </c>
      <c r="G727" t="s">
        <v>535</v>
      </c>
      <c r="H727" s="26">
        <v>44286</v>
      </c>
      <c r="I727" s="129">
        <v>40860627.3602871</v>
      </c>
      <c r="J727" s="33">
        <f t="shared" si="104"/>
        <v>20430313.68014355</v>
      </c>
      <c r="K727" s="33">
        <f t="shared" si="105"/>
        <v>20338753.109250937</v>
      </c>
      <c r="L727" s="33">
        <f t="shared" si="106"/>
        <v>20338753.109250937</v>
      </c>
      <c r="M727" s="33">
        <f t="shared" si="102"/>
        <v>19830284.281519663</v>
      </c>
      <c r="N727" s="133">
        <v>9172379.8055230696</v>
      </c>
      <c r="O727" s="40">
        <v>0.35540819200000001</v>
      </c>
      <c r="P727" s="155" t="s">
        <v>547</v>
      </c>
      <c r="Q727" t="s">
        <v>549</v>
      </c>
    </row>
    <row r="728" spans="1:17" ht="15" x14ac:dyDescent="0.35">
      <c r="A728" t="s">
        <v>543</v>
      </c>
      <c r="B728" t="str">
        <f t="shared" si="103"/>
        <v>iBoxx MSCI GBP Corporates Paris Aligned Capped TCA Index (12/31/2020-02/28/2023 -- pre-trajectory rebase)4</v>
      </c>
      <c r="C728" t="s">
        <v>552</v>
      </c>
      <c r="D728" t="s">
        <v>545</v>
      </c>
      <c r="E728" t="s">
        <v>546</v>
      </c>
      <c r="F728">
        <v>4</v>
      </c>
      <c r="G728" t="s">
        <v>535</v>
      </c>
      <c r="H728" s="26">
        <v>44316</v>
      </c>
      <c r="I728" s="129">
        <v>41596896.028192297</v>
      </c>
      <c r="J728" s="33">
        <f t="shared" si="104"/>
        <v>20798448.014096148</v>
      </c>
      <c r="K728" s="33">
        <f t="shared" si="105"/>
        <v>20216124.501074366</v>
      </c>
      <c r="L728" s="33">
        <f t="shared" si="106"/>
        <v>20216124.501074366</v>
      </c>
      <c r="M728" s="33">
        <f t="shared" si="102"/>
        <v>19710721.388547506</v>
      </c>
      <c r="N728" s="133">
        <v>9117076.7020373791</v>
      </c>
      <c r="O728" s="40">
        <v>0.35851373600000003</v>
      </c>
      <c r="P728" s="155" t="s">
        <v>547</v>
      </c>
      <c r="Q728" t="s">
        <v>549</v>
      </c>
    </row>
    <row r="729" spans="1:17" ht="15" x14ac:dyDescent="0.35">
      <c r="A729" t="s">
        <v>543</v>
      </c>
      <c r="B729" t="str">
        <f t="shared" si="103"/>
        <v>iBoxx MSCI GBP Corporates Paris Aligned Capped TCA Index (12/31/2020-02/28/2023 -- pre-trajectory rebase)5</v>
      </c>
      <c r="C729" t="s">
        <v>552</v>
      </c>
      <c r="D729" t="s">
        <v>545</v>
      </c>
      <c r="E729" t="s">
        <v>546</v>
      </c>
      <c r="F729">
        <v>5</v>
      </c>
      <c r="G729" t="s">
        <v>535</v>
      </c>
      <c r="H729" s="26">
        <v>44347</v>
      </c>
      <c r="I729" s="129">
        <v>41041926.962582096</v>
      </c>
      <c r="J729" s="33">
        <f t="shared" si="104"/>
        <v>20520963.481291048</v>
      </c>
      <c r="K729" s="33">
        <f t="shared" si="105"/>
        <v>20094235.258554213</v>
      </c>
      <c r="L729" s="33">
        <f t="shared" si="106"/>
        <v>20094235.258554213</v>
      </c>
      <c r="M729" s="33">
        <f t="shared" si="102"/>
        <v>19591879.377090357</v>
      </c>
      <c r="N729" s="133">
        <v>9062107.03774786</v>
      </c>
      <c r="O729" s="40">
        <v>0.35809080700000001</v>
      </c>
      <c r="P729" s="155" t="s">
        <v>547</v>
      </c>
      <c r="Q729" t="s">
        <v>549</v>
      </c>
    </row>
    <row r="730" spans="1:17" ht="15" x14ac:dyDescent="0.35">
      <c r="A730" t="s">
        <v>543</v>
      </c>
      <c r="B730" t="str">
        <f t="shared" si="103"/>
        <v>iBoxx MSCI GBP Corporates Paris Aligned Capped TCA Index (12/31/2020-02/28/2023 -- pre-trajectory rebase)6</v>
      </c>
      <c r="C730" t="s">
        <v>552</v>
      </c>
      <c r="D730" t="s">
        <v>545</v>
      </c>
      <c r="E730" t="s">
        <v>546</v>
      </c>
      <c r="F730">
        <v>6</v>
      </c>
      <c r="G730" t="s">
        <v>535</v>
      </c>
      <c r="H730" s="26">
        <v>44377</v>
      </c>
      <c r="I730" s="129">
        <v>38454990.0894688</v>
      </c>
      <c r="J730" s="33">
        <f t="shared" si="104"/>
        <v>19227495.0447344</v>
      </c>
      <c r="K730" s="33">
        <f t="shared" si="105"/>
        <v>19973080.92382716</v>
      </c>
      <c r="L730" s="33">
        <f t="shared" si="106"/>
        <v>19227495.0447344</v>
      </c>
      <c r="M730" s="33">
        <f t="shared" si="102"/>
        <v>18746807.668616038</v>
      </c>
      <c r="N730" s="133">
        <v>9007468.8025756907</v>
      </c>
      <c r="O730" s="40">
        <v>0.35446563800000003</v>
      </c>
      <c r="P730" s="155" t="s">
        <v>547</v>
      </c>
      <c r="Q730" t="s">
        <v>549</v>
      </c>
    </row>
    <row r="731" spans="1:17" ht="15" x14ac:dyDescent="0.35">
      <c r="A731" t="s">
        <v>543</v>
      </c>
      <c r="B731" t="str">
        <f t="shared" si="103"/>
        <v>iBoxx MSCI GBP Corporates Paris Aligned Capped TCA Index (12/31/2020-02/28/2023 -- pre-trajectory rebase)7</v>
      </c>
      <c r="C731" t="s">
        <v>552</v>
      </c>
      <c r="D731" t="s">
        <v>545</v>
      </c>
      <c r="E731" t="s">
        <v>546</v>
      </c>
      <c r="F731">
        <v>7</v>
      </c>
      <c r="G731" t="s">
        <v>535</v>
      </c>
      <c r="H731" s="26">
        <v>44408</v>
      </c>
      <c r="I731" s="129">
        <v>39598096.015871599</v>
      </c>
      <c r="J731" s="33">
        <f t="shared" si="104"/>
        <v>19799048.0079358</v>
      </c>
      <c r="K731" s="33">
        <f t="shared" si="105"/>
        <v>19852657.06590772</v>
      </c>
      <c r="L731" s="33">
        <f t="shared" si="106"/>
        <v>19799048.0079358</v>
      </c>
      <c r="M731" s="33">
        <f t="shared" si="102"/>
        <v>19304071.807737403</v>
      </c>
      <c r="N731" s="133">
        <v>8953159.9985976703</v>
      </c>
      <c r="O731" s="40">
        <v>0.35496907599999999</v>
      </c>
      <c r="P731" s="155" t="s">
        <v>547</v>
      </c>
      <c r="Q731" t="s">
        <v>549</v>
      </c>
    </row>
    <row r="732" spans="1:17" ht="15" x14ac:dyDescent="0.35">
      <c r="A732" t="s">
        <v>543</v>
      </c>
      <c r="B732" t="str">
        <f t="shared" si="103"/>
        <v>iBoxx MSCI GBP Corporates Paris Aligned Capped TCA Index (12/31/2020-02/28/2023 -- pre-trajectory rebase)8</v>
      </c>
      <c r="C732" t="s">
        <v>552</v>
      </c>
      <c r="D732" t="s">
        <v>545</v>
      </c>
      <c r="E732" t="s">
        <v>546</v>
      </c>
      <c r="F732">
        <v>8</v>
      </c>
      <c r="G732" t="s">
        <v>535</v>
      </c>
      <c r="H732" s="26">
        <v>44439</v>
      </c>
      <c r="I732" s="129">
        <v>40227797.827342801</v>
      </c>
      <c r="J732" s="33">
        <f t="shared" si="104"/>
        <v>20113898.9136714</v>
      </c>
      <c r="K732" s="33">
        <f t="shared" si="105"/>
        <v>19732959.280526195</v>
      </c>
      <c r="L732" s="33">
        <f t="shared" si="106"/>
        <v>19732959.280526195</v>
      </c>
      <c r="M732" s="33">
        <f t="shared" si="102"/>
        <v>19239635.29851304</v>
      </c>
      <c r="N732" s="133">
        <v>8899178.6387976799</v>
      </c>
      <c r="O732" s="40">
        <v>0.35030358099999998</v>
      </c>
      <c r="P732" s="155" t="s">
        <v>547</v>
      </c>
      <c r="Q732" t="s">
        <v>549</v>
      </c>
    </row>
    <row r="733" spans="1:17" ht="15" x14ac:dyDescent="0.35">
      <c r="A733" t="s">
        <v>543</v>
      </c>
      <c r="B733" t="str">
        <f t="shared" si="103"/>
        <v>iBoxx MSCI GBP Corporates Paris Aligned Capped TCA Index (12/31/2020-02/28/2023 -- pre-trajectory rebase)9</v>
      </c>
      <c r="C733" t="s">
        <v>552</v>
      </c>
      <c r="D733" t="s">
        <v>545</v>
      </c>
      <c r="E733" t="s">
        <v>546</v>
      </c>
      <c r="F733">
        <v>9</v>
      </c>
      <c r="G733" t="s">
        <v>535</v>
      </c>
      <c r="H733" s="26">
        <v>44469</v>
      </c>
      <c r="I733" s="129">
        <v>42454473.992061198</v>
      </c>
      <c r="J733" s="33">
        <f t="shared" si="104"/>
        <v>21227236.996030599</v>
      </c>
      <c r="K733" s="33">
        <f t="shared" si="105"/>
        <v>19613983.189967562</v>
      </c>
      <c r="L733" s="33">
        <f t="shared" si="106"/>
        <v>19613983.189967562</v>
      </c>
      <c r="M733" s="33">
        <f t="shared" si="102"/>
        <v>19123633.610218372</v>
      </c>
      <c r="N733" s="133">
        <v>8845522.7492596898</v>
      </c>
      <c r="O733" s="40">
        <v>0.34072221699999999</v>
      </c>
      <c r="P733" s="155" t="s">
        <v>547</v>
      </c>
      <c r="Q733" t="s">
        <v>549</v>
      </c>
    </row>
    <row r="734" spans="1:17" ht="15" x14ac:dyDescent="0.35">
      <c r="A734" t="s">
        <v>543</v>
      </c>
      <c r="B734" t="str">
        <f t="shared" si="103"/>
        <v>iBoxx MSCI GBP Corporates Paris Aligned Capped TCA Index (12/31/2020-02/28/2023 -- pre-trajectory rebase)10</v>
      </c>
      <c r="C734" t="s">
        <v>552</v>
      </c>
      <c r="D734" t="s">
        <v>545</v>
      </c>
      <c r="E734" t="s">
        <v>546</v>
      </c>
      <c r="F734">
        <v>10</v>
      </c>
      <c r="G734" t="s">
        <v>535</v>
      </c>
      <c r="H734" s="26">
        <v>44500</v>
      </c>
      <c r="I734" s="129">
        <v>38617615.629501998</v>
      </c>
      <c r="J734" s="33">
        <f t="shared" si="104"/>
        <v>19308807.814750999</v>
      </c>
      <c r="K734" s="33">
        <f t="shared" si="105"/>
        <v>19495724.442911413</v>
      </c>
      <c r="L734" s="33">
        <f t="shared" si="106"/>
        <v>19308807.814750999</v>
      </c>
      <c r="M734" s="33">
        <f t="shared" si="102"/>
        <v>18826087.619382225</v>
      </c>
      <c r="N734" s="133">
        <v>8792190.3675981499</v>
      </c>
      <c r="O734" s="40">
        <v>0.33990782899999999</v>
      </c>
      <c r="P734" s="155" t="s">
        <v>547</v>
      </c>
      <c r="Q734" t="s">
        <v>549</v>
      </c>
    </row>
    <row r="735" spans="1:17" ht="15" x14ac:dyDescent="0.35">
      <c r="A735" t="s">
        <v>543</v>
      </c>
      <c r="B735" t="str">
        <f t="shared" si="103"/>
        <v>iBoxx MSCI GBP Corporates Paris Aligned Capped TCA Index (12/31/2020-02/28/2023 -- pre-trajectory rebase)11</v>
      </c>
      <c r="C735" t="s">
        <v>552</v>
      </c>
      <c r="D735" t="s">
        <v>545</v>
      </c>
      <c r="E735" t="s">
        <v>546</v>
      </c>
      <c r="F735">
        <v>11</v>
      </c>
      <c r="G735" t="s">
        <v>535</v>
      </c>
      <c r="H735" s="26">
        <v>44530</v>
      </c>
      <c r="I735" s="129">
        <v>37697472.810765199</v>
      </c>
      <c r="J735" s="33">
        <f t="shared" si="104"/>
        <v>18848736.4053826</v>
      </c>
      <c r="K735" s="33">
        <f t="shared" si="105"/>
        <v>19378178.714272778</v>
      </c>
      <c r="L735" s="33">
        <f t="shared" si="106"/>
        <v>18848736.4053826</v>
      </c>
      <c r="M735" s="33">
        <f t="shared" si="102"/>
        <v>18377517.995248035</v>
      </c>
      <c r="N735" s="133">
        <v>8739179.5432862397</v>
      </c>
      <c r="O735" s="40">
        <v>0.33800076499999998</v>
      </c>
      <c r="P735" s="155" t="s">
        <v>547</v>
      </c>
      <c r="Q735" t="s">
        <v>549</v>
      </c>
    </row>
    <row r="736" spans="1:17" ht="15" x14ac:dyDescent="0.35">
      <c r="A736" t="s">
        <v>543</v>
      </c>
      <c r="B736" t="str">
        <f t="shared" si="103"/>
        <v>iBoxx MSCI GBP Corporates Paris Aligned Capped TCA Index (12/31/2020-02/28/2023 -- pre-trajectory rebase)12</v>
      </c>
      <c r="C736" t="s">
        <v>552</v>
      </c>
      <c r="D736" t="s">
        <v>545</v>
      </c>
      <c r="E736" t="s">
        <v>546</v>
      </c>
      <c r="F736">
        <v>12</v>
      </c>
      <c r="G736" t="s">
        <v>535</v>
      </c>
      <c r="H736" s="26">
        <v>44561</v>
      </c>
      <c r="I736" s="129">
        <v>37619422.399793103</v>
      </c>
      <c r="J736" s="33">
        <f t="shared" si="104"/>
        <v>18809711.199896552</v>
      </c>
      <c r="K736" s="33">
        <f t="shared" si="105"/>
        <v>19261341.705043968</v>
      </c>
      <c r="L736" s="33">
        <f t="shared" si="106"/>
        <v>18809711.199896552</v>
      </c>
      <c r="M736" s="33">
        <f t="shared" si="102"/>
        <v>18339468.419899136</v>
      </c>
      <c r="N736" s="133">
        <v>8686488.3375014998</v>
      </c>
      <c r="O736" s="40">
        <v>0.29357208200000001</v>
      </c>
      <c r="P736" s="155" t="s">
        <v>547</v>
      </c>
      <c r="Q736" t="s">
        <v>549</v>
      </c>
    </row>
    <row r="737" spans="1:17" ht="15" x14ac:dyDescent="0.35">
      <c r="A737" t="s">
        <v>543</v>
      </c>
      <c r="B737" t="str">
        <f t="shared" si="103"/>
        <v>iBoxx MSCI GBP Corporates Paris Aligned Capped TCA Index (12/31/2020-02/28/2023 -- pre-trajectory rebase)13</v>
      </c>
      <c r="C737" t="s">
        <v>552</v>
      </c>
      <c r="D737" t="s">
        <v>545</v>
      </c>
      <c r="E737" t="s">
        <v>546</v>
      </c>
      <c r="F737">
        <v>13</v>
      </c>
      <c r="G737" t="s">
        <v>535</v>
      </c>
      <c r="H737" s="26">
        <v>44592</v>
      </c>
      <c r="I737" s="129">
        <v>37230609.690074198</v>
      </c>
      <c r="J737" s="33">
        <f t="shared" si="104"/>
        <v>18615304.845037099</v>
      </c>
      <c r="K737" s="33">
        <f t="shared" si="105"/>
        <v>19145209.142137315</v>
      </c>
      <c r="L737" s="33">
        <f t="shared" si="106"/>
        <v>18615304.845037099</v>
      </c>
      <c r="M737" s="33">
        <f t="shared" si="102"/>
        <v>18149922.22391117</v>
      </c>
      <c r="N737" s="133">
        <v>8634114.8233796991</v>
      </c>
      <c r="O737" s="40">
        <v>0.29142241699999999</v>
      </c>
      <c r="P737" s="155" t="s">
        <v>547</v>
      </c>
      <c r="Q737" t="s">
        <v>549</v>
      </c>
    </row>
    <row r="738" spans="1:17" ht="15" x14ac:dyDescent="0.35">
      <c r="A738" t="s">
        <v>543</v>
      </c>
      <c r="B738" t="str">
        <f t="shared" si="103"/>
        <v>iBoxx MSCI GBP Corporates Paris Aligned Capped TCA Index (12/31/2020-02/28/2023 -- pre-trajectory rebase)14</v>
      </c>
      <c r="C738" t="s">
        <v>552</v>
      </c>
      <c r="D738" t="s">
        <v>545</v>
      </c>
      <c r="E738" t="s">
        <v>546</v>
      </c>
      <c r="F738">
        <v>14</v>
      </c>
      <c r="G738" t="s">
        <v>535</v>
      </c>
      <c r="H738" s="26">
        <v>44620</v>
      </c>
      <c r="I738" s="129">
        <v>36782663.208092399</v>
      </c>
      <c r="J738" s="33">
        <f t="shared" si="104"/>
        <v>18391331.604046199</v>
      </c>
      <c r="K738" s="33">
        <f t="shared" si="105"/>
        <v>19029776.778228942</v>
      </c>
      <c r="L738" s="33">
        <f t="shared" si="106"/>
        <v>18391331.604046199</v>
      </c>
      <c r="M738" s="33">
        <f t="shared" si="102"/>
        <v>17931548.313945044</v>
      </c>
      <c r="N738" s="133">
        <v>8582057.0852339603</v>
      </c>
      <c r="O738" s="40">
        <v>0.29060456200000001</v>
      </c>
      <c r="P738" s="155" t="s">
        <v>547</v>
      </c>
      <c r="Q738" t="s">
        <v>549</v>
      </c>
    </row>
    <row r="739" spans="1:17" ht="15" x14ac:dyDescent="0.35">
      <c r="A739" t="s">
        <v>543</v>
      </c>
      <c r="B739" t="str">
        <f t="shared" si="103"/>
        <v>iBoxx MSCI GBP Corporates Paris Aligned Capped TCA Index (12/31/2020-02/28/2023 -- pre-trajectory rebase)15</v>
      </c>
      <c r="C739" t="s">
        <v>552</v>
      </c>
      <c r="D739" t="s">
        <v>545</v>
      </c>
      <c r="E739" t="s">
        <v>546</v>
      </c>
      <c r="F739">
        <v>15</v>
      </c>
      <c r="G739" t="s">
        <v>535</v>
      </c>
      <c r="H739" s="26">
        <v>44651</v>
      </c>
      <c r="I739" s="131"/>
      <c r="J739" s="131"/>
      <c r="K739" s="131"/>
      <c r="L739" s="131"/>
      <c r="M739" s="131"/>
      <c r="N739" s="131"/>
      <c r="O739" s="132"/>
      <c r="P739" s="155" t="s">
        <v>547</v>
      </c>
      <c r="Q739" s="25" t="s">
        <v>550</v>
      </c>
    </row>
    <row r="740" spans="1:17" ht="15" x14ac:dyDescent="0.35">
      <c r="A740" t="s">
        <v>543</v>
      </c>
      <c r="B740" t="str">
        <f t="shared" si="103"/>
        <v>iBoxx MSCI GBP Corporates Paris Aligned Capped TCA Index (12/31/2020-02/28/2023 -- pre-trajectory rebase)16</v>
      </c>
      <c r="C740" t="s">
        <v>552</v>
      </c>
      <c r="D740" t="s">
        <v>545</v>
      </c>
      <c r="E740" t="s">
        <v>546</v>
      </c>
      <c r="F740">
        <v>16</v>
      </c>
      <c r="G740" t="s">
        <v>535</v>
      </c>
      <c r="H740" s="26">
        <v>44681</v>
      </c>
      <c r="I740" s="131"/>
      <c r="J740" s="131"/>
      <c r="K740" s="131"/>
      <c r="L740" s="131"/>
      <c r="M740" s="131"/>
      <c r="N740" s="131"/>
      <c r="O740" s="132"/>
      <c r="P740" s="155" t="s">
        <v>547</v>
      </c>
    </row>
    <row r="741" spans="1:17" ht="15" x14ac:dyDescent="0.35">
      <c r="A741" t="s">
        <v>543</v>
      </c>
      <c r="B741" t="str">
        <f t="shared" si="103"/>
        <v>iBoxx MSCI GBP Corporates Paris Aligned Capped TCA Index (12/31/2020-02/28/2023 -- pre-trajectory rebase)17</v>
      </c>
      <c r="C741" t="s">
        <v>552</v>
      </c>
      <c r="D741" t="s">
        <v>545</v>
      </c>
      <c r="E741" t="s">
        <v>546</v>
      </c>
      <c r="F741">
        <v>17</v>
      </c>
      <c r="G741" t="s">
        <v>535</v>
      </c>
      <c r="H741" s="26">
        <v>44712</v>
      </c>
      <c r="I741" s="131"/>
      <c r="J741" s="131"/>
      <c r="K741" s="131"/>
      <c r="L741" s="131"/>
      <c r="M741" s="131"/>
      <c r="N741" s="131"/>
      <c r="O741" s="132"/>
      <c r="P741" s="155" t="s">
        <v>547</v>
      </c>
    </row>
    <row r="742" spans="1:17" ht="15" x14ac:dyDescent="0.35">
      <c r="A742" t="s">
        <v>543</v>
      </c>
      <c r="B742" t="str">
        <f t="shared" si="103"/>
        <v>iBoxx MSCI GBP Corporates Paris Aligned Capped TCA Index (12/31/2020-02/28/2023 -- pre-trajectory rebase)18</v>
      </c>
      <c r="C742" t="s">
        <v>552</v>
      </c>
      <c r="D742" t="s">
        <v>545</v>
      </c>
      <c r="E742" t="s">
        <v>546</v>
      </c>
      <c r="F742">
        <v>18</v>
      </c>
      <c r="G742" t="s">
        <v>535</v>
      </c>
      <c r="H742" s="26">
        <v>44742</v>
      </c>
      <c r="I742" s="131"/>
      <c r="J742" s="131"/>
      <c r="K742" s="131"/>
      <c r="L742" s="131"/>
      <c r="M742" s="131"/>
      <c r="N742" s="131"/>
      <c r="O742" s="132"/>
      <c r="P742" s="155" t="s">
        <v>547</v>
      </c>
    </row>
    <row r="743" spans="1:17" ht="15" x14ac:dyDescent="0.35">
      <c r="A743" t="s">
        <v>543</v>
      </c>
      <c r="B743" t="str">
        <f t="shared" si="103"/>
        <v>iBoxx MSCI GBP Corporates Paris Aligned Capped TCA Index (12/31/2020-02/28/2023 -- pre-trajectory rebase)19</v>
      </c>
      <c r="C743" t="s">
        <v>552</v>
      </c>
      <c r="D743" t="s">
        <v>545</v>
      </c>
      <c r="E743" t="s">
        <v>546</v>
      </c>
      <c r="F743">
        <v>19</v>
      </c>
      <c r="G743" t="s">
        <v>535</v>
      </c>
      <c r="H743" s="26">
        <v>44773</v>
      </c>
      <c r="I743" s="131"/>
      <c r="J743" s="131"/>
      <c r="K743" s="131"/>
      <c r="L743" s="131"/>
      <c r="M743" s="131"/>
      <c r="N743" s="131"/>
      <c r="O743" s="132"/>
      <c r="P743" s="155" t="s">
        <v>547</v>
      </c>
    </row>
    <row r="744" spans="1:17" ht="15" x14ac:dyDescent="0.35">
      <c r="A744" t="s">
        <v>543</v>
      </c>
      <c r="B744" t="str">
        <f t="shared" si="103"/>
        <v>iBoxx MSCI GBP Corporates Paris Aligned Capped TCA Index (12/31/2020-02/28/2023 -- pre-trajectory rebase)20</v>
      </c>
      <c r="C744" t="s">
        <v>552</v>
      </c>
      <c r="D744" t="s">
        <v>545</v>
      </c>
      <c r="E744" t="s">
        <v>546</v>
      </c>
      <c r="F744">
        <v>20</v>
      </c>
      <c r="G744" t="s">
        <v>535</v>
      </c>
      <c r="H744" s="26">
        <v>44804</v>
      </c>
      <c r="I744" s="131"/>
      <c r="J744" s="131"/>
      <c r="K744" s="131"/>
      <c r="L744" s="131"/>
      <c r="M744" s="131"/>
      <c r="N744" s="131"/>
      <c r="O744" s="132"/>
      <c r="P744" s="155" t="s">
        <v>547</v>
      </c>
    </row>
    <row r="745" spans="1:17" ht="15" x14ac:dyDescent="0.35">
      <c r="A745" t="s">
        <v>543</v>
      </c>
      <c r="B745" t="str">
        <f t="shared" si="103"/>
        <v>iBoxx MSCI GBP Corporates Paris Aligned Capped TCA Index (12/31/2020-02/28/2023 -- pre-trajectory rebase)21</v>
      </c>
      <c r="C745" t="s">
        <v>552</v>
      </c>
      <c r="D745" t="s">
        <v>545</v>
      </c>
      <c r="E745" t="s">
        <v>546</v>
      </c>
      <c r="F745">
        <v>21</v>
      </c>
      <c r="G745" t="s">
        <v>535</v>
      </c>
      <c r="H745" s="26">
        <v>44834</v>
      </c>
      <c r="I745" s="131"/>
      <c r="J745" s="131"/>
      <c r="K745" s="131"/>
      <c r="L745" s="131"/>
      <c r="M745" s="131"/>
      <c r="N745" s="131"/>
      <c r="O745" s="132"/>
      <c r="P745" s="155" t="s">
        <v>547</v>
      </c>
    </row>
    <row r="746" spans="1:17" ht="15" x14ac:dyDescent="0.35">
      <c r="A746" t="s">
        <v>543</v>
      </c>
      <c r="B746" t="str">
        <f t="shared" si="103"/>
        <v>iBoxx MSCI GBP Corporates Paris Aligned Capped TCA Index (12/31/2020-02/28/2023 -- pre-trajectory rebase)22</v>
      </c>
      <c r="C746" t="s">
        <v>552</v>
      </c>
      <c r="D746" t="s">
        <v>545</v>
      </c>
      <c r="E746" t="s">
        <v>546</v>
      </c>
      <c r="F746">
        <v>22</v>
      </c>
      <c r="G746" t="s">
        <v>535</v>
      </c>
      <c r="H746" s="26">
        <v>44865</v>
      </c>
      <c r="I746" s="131"/>
      <c r="J746" s="131"/>
      <c r="K746" s="131"/>
      <c r="L746" s="131"/>
      <c r="M746" s="131"/>
      <c r="N746" s="131"/>
      <c r="O746" s="132"/>
      <c r="P746" s="155" t="s">
        <v>547</v>
      </c>
    </row>
    <row r="747" spans="1:17" ht="15" x14ac:dyDescent="0.35">
      <c r="A747" t="s">
        <v>543</v>
      </c>
      <c r="B747" t="str">
        <f t="shared" si="103"/>
        <v>iBoxx MSCI GBP Corporates Paris Aligned Capped TCA Index (12/31/2020-02/28/2023 -- pre-trajectory rebase)23</v>
      </c>
      <c r="C747" t="s">
        <v>552</v>
      </c>
      <c r="D747" t="s">
        <v>545</v>
      </c>
      <c r="E747" t="s">
        <v>546</v>
      </c>
      <c r="F747">
        <v>23</v>
      </c>
      <c r="G747" t="s">
        <v>535</v>
      </c>
      <c r="H747" s="26">
        <v>44895</v>
      </c>
      <c r="I747" s="131"/>
      <c r="J747" s="131"/>
      <c r="K747" s="131"/>
      <c r="L747" s="131"/>
      <c r="M747" s="131"/>
      <c r="N747" s="131"/>
      <c r="O747" s="132"/>
      <c r="P747" s="155" t="s">
        <v>547</v>
      </c>
    </row>
    <row r="748" spans="1:17" ht="15" x14ac:dyDescent="0.35">
      <c r="A748" t="s">
        <v>543</v>
      </c>
      <c r="B748" t="str">
        <f t="shared" si="103"/>
        <v>iBoxx MSCI GBP Corporates Paris Aligned Capped TCA Index (12/31/2020-02/28/2023 -- pre-trajectory rebase)24</v>
      </c>
      <c r="C748" t="s">
        <v>552</v>
      </c>
      <c r="D748" t="s">
        <v>545</v>
      </c>
      <c r="E748" t="s">
        <v>546</v>
      </c>
      <c r="F748">
        <v>24</v>
      </c>
      <c r="G748" t="s">
        <v>535</v>
      </c>
      <c r="H748" s="26">
        <v>44926</v>
      </c>
      <c r="I748" s="131"/>
      <c r="J748" s="131"/>
      <c r="K748" s="131"/>
      <c r="L748" s="131"/>
      <c r="M748" s="131"/>
      <c r="N748" s="131"/>
      <c r="O748" s="132"/>
      <c r="P748" s="155" t="s">
        <v>547</v>
      </c>
    </row>
    <row r="749" spans="1:17" ht="15" x14ac:dyDescent="0.35">
      <c r="A749" t="s">
        <v>543</v>
      </c>
      <c r="B749" t="str">
        <f t="shared" si="103"/>
        <v>iBoxx MSCI GBP Corporates Paris Aligned Capped TCA Index (12/31/2020-02/28/2023 -- pre-trajectory rebase)25</v>
      </c>
      <c r="C749" t="s">
        <v>552</v>
      </c>
      <c r="D749" t="s">
        <v>545</v>
      </c>
      <c r="E749" t="s">
        <v>546</v>
      </c>
      <c r="F749">
        <v>25</v>
      </c>
      <c r="G749" t="s">
        <v>535</v>
      </c>
      <c r="H749" s="26">
        <v>44957</v>
      </c>
      <c r="I749" s="131"/>
      <c r="J749" s="131"/>
      <c r="K749" s="131"/>
      <c r="L749" s="131"/>
      <c r="M749" s="131"/>
      <c r="N749" s="131"/>
      <c r="O749" s="132"/>
      <c r="P749" s="155" t="s">
        <v>547</v>
      </c>
    </row>
    <row r="750" spans="1:17" ht="15" x14ac:dyDescent="0.35">
      <c r="A750" t="s">
        <v>543</v>
      </c>
      <c r="B750" t="str">
        <f t="shared" si="103"/>
        <v>iBoxx MSCI GBP Corporates Paris Aligned Capped TCA Index (12/31/2020-02/28/2023 -- pre-trajectory rebase)26</v>
      </c>
      <c r="C750" t="s">
        <v>552</v>
      </c>
      <c r="D750" t="s">
        <v>545</v>
      </c>
      <c r="E750" t="s">
        <v>546</v>
      </c>
      <c r="F750">
        <v>26</v>
      </c>
      <c r="G750" t="s">
        <v>535</v>
      </c>
      <c r="H750" s="26">
        <v>44985</v>
      </c>
      <c r="I750" s="131"/>
      <c r="J750" s="131"/>
      <c r="K750" s="131"/>
      <c r="L750" s="131"/>
      <c r="M750" s="131"/>
      <c r="N750" s="131"/>
      <c r="O750" s="132"/>
      <c r="P750" s="155" t="s">
        <v>547</v>
      </c>
    </row>
    <row r="751" spans="1:17" ht="15" x14ac:dyDescent="0.35">
      <c r="A751" t="s">
        <v>543</v>
      </c>
      <c r="B751" t="str">
        <f t="shared" si="103"/>
        <v>iBoxx MSCI GBP Corporates Paris Aligned Capped TCA Index (12/31/2020-02/28/2023 -- pre-trajectory rebase)27</v>
      </c>
      <c r="C751" t="s">
        <v>552</v>
      </c>
      <c r="D751" t="s">
        <v>545</v>
      </c>
      <c r="E751" t="s">
        <v>546</v>
      </c>
      <c r="F751">
        <v>27</v>
      </c>
      <c r="G751" t="s">
        <v>535</v>
      </c>
      <c r="H751" s="26">
        <v>45016</v>
      </c>
      <c r="I751" s="131"/>
      <c r="J751" s="131"/>
      <c r="K751" s="131"/>
      <c r="L751" s="131"/>
      <c r="M751" s="131"/>
      <c r="N751" s="131"/>
      <c r="O751" s="132"/>
      <c r="P751" s="155" t="s">
        <v>547</v>
      </c>
    </row>
    <row r="752" spans="1:17" ht="15" x14ac:dyDescent="0.35">
      <c r="A752" t="s">
        <v>543</v>
      </c>
      <c r="B752" t="str">
        <f t="shared" si="103"/>
        <v>iBoxx MSCI GBP Corporates Paris Aligned Capped TCA Index (12/31/2020-02/28/2023 -- pre-trajectory rebase)28</v>
      </c>
      <c r="C752" t="s">
        <v>552</v>
      </c>
      <c r="D752" t="s">
        <v>545</v>
      </c>
      <c r="E752" t="s">
        <v>546</v>
      </c>
      <c r="F752">
        <v>28</v>
      </c>
      <c r="G752" t="s">
        <v>535</v>
      </c>
      <c r="H752" s="26">
        <v>45046</v>
      </c>
      <c r="I752" s="131"/>
      <c r="J752" s="131"/>
      <c r="K752" s="131"/>
      <c r="L752" s="131"/>
      <c r="M752" s="131"/>
      <c r="N752" s="131"/>
      <c r="O752" s="132"/>
      <c r="P752" s="155" t="s">
        <v>547</v>
      </c>
    </row>
    <row r="753" spans="1:16" ht="15" x14ac:dyDescent="0.35">
      <c r="A753" t="s">
        <v>543</v>
      </c>
      <c r="B753" t="str">
        <f t="shared" si="103"/>
        <v>iBoxx MSCI GBP Corporates Paris Aligned Capped TCA Index (12/31/2020-02/28/2023 -- pre-trajectory rebase)29</v>
      </c>
      <c r="C753" t="s">
        <v>552</v>
      </c>
      <c r="D753" t="s">
        <v>545</v>
      </c>
      <c r="E753" t="s">
        <v>546</v>
      </c>
      <c r="F753">
        <v>29</v>
      </c>
      <c r="G753" t="s">
        <v>535</v>
      </c>
      <c r="H753" s="26">
        <v>45077</v>
      </c>
      <c r="I753" s="131"/>
      <c r="J753" s="131"/>
      <c r="K753" s="131"/>
      <c r="L753" s="131"/>
      <c r="M753" s="131"/>
      <c r="N753" s="131"/>
      <c r="O753" s="132"/>
      <c r="P753" s="155" t="s">
        <v>547</v>
      </c>
    </row>
    <row r="754" spans="1:16" ht="15" x14ac:dyDescent="0.35">
      <c r="A754" t="s">
        <v>543</v>
      </c>
      <c r="B754" t="str">
        <f t="shared" si="103"/>
        <v>iBoxx MSCI GBP Corporates Paris Aligned Capped TCA Index (12/31/2020-02/28/2023 -- pre-trajectory rebase)30</v>
      </c>
      <c r="C754" t="s">
        <v>552</v>
      </c>
      <c r="D754" t="s">
        <v>545</v>
      </c>
      <c r="E754" t="s">
        <v>546</v>
      </c>
      <c r="F754">
        <v>30</v>
      </c>
      <c r="G754" t="s">
        <v>535</v>
      </c>
      <c r="H754" s="26">
        <v>45107</v>
      </c>
      <c r="I754" s="131"/>
      <c r="J754" s="131"/>
      <c r="K754" s="131"/>
      <c r="L754" s="131"/>
      <c r="M754" s="131"/>
      <c r="N754" s="131"/>
      <c r="O754" s="132"/>
      <c r="P754" s="155" t="s">
        <v>547</v>
      </c>
    </row>
    <row r="755" spans="1:16" ht="15" x14ac:dyDescent="0.35">
      <c r="A755" t="s">
        <v>543</v>
      </c>
      <c r="B755" t="str">
        <f t="shared" si="103"/>
        <v>iBoxx MSCI GBP Corporates Paris Aligned Capped TCA Index (12/31/2020-02/28/2023 -- pre-trajectory rebase)31</v>
      </c>
      <c r="C755" t="s">
        <v>552</v>
      </c>
      <c r="D755" t="s">
        <v>545</v>
      </c>
      <c r="E755" t="s">
        <v>546</v>
      </c>
      <c r="F755">
        <v>31</v>
      </c>
      <c r="G755" t="s">
        <v>535</v>
      </c>
      <c r="H755" s="26">
        <v>45138</v>
      </c>
      <c r="I755" s="131"/>
      <c r="J755" s="131"/>
      <c r="K755" s="131"/>
      <c r="L755" s="131"/>
      <c r="M755" s="131"/>
      <c r="N755" s="131"/>
      <c r="O755" s="132"/>
      <c r="P755" s="155" t="s">
        <v>547</v>
      </c>
    </row>
    <row r="756" spans="1:16" ht="15" x14ac:dyDescent="0.35">
      <c r="A756" t="s">
        <v>543</v>
      </c>
      <c r="B756" t="str">
        <f t="shared" si="103"/>
        <v>iBoxx MSCI GBP Corporates Paris Aligned Capped TCA Index (12/31/2020-02/28/2023 -- pre-trajectory rebase)32</v>
      </c>
      <c r="C756" t="s">
        <v>552</v>
      </c>
      <c r="D756" t="s">
        <v>545</v>
      </c>
      <c r="E756" t="s">
        <v>546</v>
      </c>
      <c r="F756">
        <v>32</v>
      </c>
      <c r="G756" t="s">
        <v>535</v>
      </c>
      <c r="H756" s="26">
        <v>45169</v>
      </c>
      <c r="I756" s="131"/>
      <c r="J756" s="131"/>
      <c r="K756" s="131"/>
      <c r="L756" s="131"/>
      <c r="M756" s="131"/>
      <c r="N756" s="131"/>
      <c r="O756" s="132"/>
      <c r="P756" s="155" t="s">
        <v>547</v>
      </c>
    </row>
    <row r="757" spans="1:16" ht="15" x14ac:dyDescent="0.35">
      <c r="A757" t="s">
        <v>543</v>
      </c>
      <c r="B757" t="str">
        <f t="shared" si="103"/>
        <v>iBoxx MSCI GBP Corporates Paris Aligned Capped TCA Index (12/31/2020-02/28/2023 -- pre-trajectory rebase)33</v>
      </c>
      <c r="C757" t="s">
        <v>552</v>
      </c>
      <c r="D757" t="s">
        <v>545</v>
      </c>
      <c r="E757" t="s">
        <v>546</v>
      </c>
      <c r="F757">
        <v>33</v>
      </c>
      <c r="G757" t="s">
        <v>535</v>
      </c>
      <c r="H757" s="26">
        <v>45199</v>
      </c>
      <c r="I757" s="131"/>
      <c r="J757" s="131"/>
      <c r="K757" s="131"/>
      <c r="L757" s="131"/>
      <c r="M757" s="131"/>
      <c r="N757" s="131"/>
      <c r="O757" s="132"/>
      <c r="P757" s="155" t="s">
        <v>547</v>
      </c>
    </row>
    <row r="758" spans="1:16" ht="15" x14ac:dyDescent="0.35">
      <c r="A758" t="s">
        <v>543</v>
      </c>
      <c r="B758" t="str">
        <f t="shared" si="103"/>
        <v>iBoxx MSCI GBP Corporates Paris Aligned Capped TCA Index (12/31/2020-02/28/2023 -- pre-trajectory rebase)34</v>
      </c>
      <c r="C758" t="s">
        <v>552</v>
      </c>
      <c r="D758" t="s">
        <v>545</v>
      </c>
      <c r="E758" t="s">
        <v>546</v>
      </c>
      <c r="F758">
        <v>34</v>
      </c>
      <c r="G758" t="s">
        <v>535</v>
      </c>
      <c r="H758" s="26">
        <v>45230</v>
      </c>
      <c r="I758" s="131"/>
      <c r="J758" s="131"/>
      <c r="K758" s="131"/>
      <c r="L758" s="131"/>
      <c r="M758" s="131"/>
      <c r="N758" s="131"/>
      <c r="O758" s="132"/>
      <c r="P758" s="155" t="s">
        <v>547</v>
      </c>
    </row>
    <row r="759" spans="1:16" ht="15" x14ac:dyDescent="0.35">
      <c r="A759" t="s">
        <v>543</v>
      </c>
      <c r="B759" t="str">
        <f t="shared" si="103"/>
        <v>iBoxx MSCI GBP Corporates Paris Aligned Capped TCA Index (12/31/2020-02/28/2023 -- pre-trajectory rebase)35</v>
      </c>
      <c r="C759" t="s">
        <v>552</v>
      </c>
      <c r="D759" t="s">
        <v>545</v>
      </c>
      <c r="E759" t="s">
        <v>546</v>
      </c>
      <c r="F759">
        <v>35</v>
      </c>
      <c r="G759" t="s">
        <v>535</v>
      </c>
      <c r="H759" s="26">
        <v>45260</v>
      </c>
      <c r="I759" s="131"/>
      <c r="J759" s="131"/>
      <c r="K759" s="131"/>
      <c r="L759" s="131"/>
      <c r="M759" s="131"/>
      <c r="N759" s="131"/>
      <c r="O759" s="132"/>
      <c r="P759" s="155" t="s">
        <v>547</v>
      </c>
    </row>
    <row r="760" spans="1:16" ht="15" x14ac:dyDescent="0.35">
      <c r="A760" t="s">
        <v>543</v>
      </c>
      <c r="B760" t="str">
        <f t="shared" si="103"/>
        <v>iBoxx MSCI GBP Corporates Paris Aligned Capped TCA Index (12/31/2020-02/28/2023 -- pre-trajectory rebase)36</v>
      </c>
      <c r="C760" t="s">
        <v>552</v>
      </c>
      <c r="D760" t="s">
        <v>545</v>
      </c>
      <c r="E760" t="s">
        <v>546</v>
      </c>
      <c r="F760">
        <v>36</v>
      </c>
      <c r="G760" t="s">
        <v>535</v>
      </c>
      <c r="H760" s="26">
        <v>45291</v>
      </c>
      <c r="I760" s="131"/>
      <c r="J760" s="131"/>
      <c r="K760" s="131"/>
      <c r="L760" s="131"/>
      <c r="M760" s="131"/>
      <c r="N760" s="131"/>
      <c r="O760" s="132"/>
      <c r="P760" s="155" t="s">
        <v>547</v>
      </c>
    </row>
    <row r="761" spans="1:16" ht="15" x14ac:dyDescent="0.35">
      <c r="A761" t="s">
        <v>543</v>
      </c>
      <c r="B761" t="str">
        <f t="shared" si="103"/>
        <v>iBoxx MSCI GBP Corporates Paris Aligned Capped TCA Index (12/31/2020-02/28/2023 -- pre-trajectory rebase)37</v>
      </c>
      <c r="C761" t="s">
        <v>552</v>
      </c>
      <c r="D761" t="s">
        <v>545</v>
      </c>
      <c r="E761" t="s">
        <v>546</v>
      </c>
      <c r="F761">
        <v>37</v>
      </c>
      <c r="G761" t="s">
        <v>535</v>
      </c>
      <c r="H761" s="26">
        <v>45322</v>
      </c>
      <c r="I761" s="131"/>
      <c r="J761" s="131"/>
      <c r="K761" s="131"/>
      <c r="L761" s="131"/>
      <c r="M761" s="131"/>
      <c r="N761" s="131"/>
      <c r="O761" s="132"/>
      <c r="P761" s="155" t="s">
        <v>547</v>
      </c>
    </row>
    <row r="762" spans="1:16" ht="15" x14ac:dyDescent="0.35">
      <c r="A762" t="s">
        <v>543</v>
      </c>
      <c r="B762" t="str">
        <f t="shared" si="103"/>
        <v>iBoxx MSCI GBP Corporates Paris Aligned Capped TCA Index (12/31/2020-02/28/2023 -- pre-trajectory rebase)38</v>
      </c>
      <c r="C762" t="s">
        <v>552</v>
      </c>
      <c r="D762" t="s">
        <v>545</v>
      </c>
      <c r="E762" t="s">
        <v>546</v>
      </c>
      <c r="F762">
        <v>38</v>
      </c>
      <c r="G762" t="s">
        <v>535</v>
      </c>
      <c r="H762" s="26">
        <v>45350</v>
      </c>
      <c r="I762" s="131"/>
      <c r="J762" s="131"/>
      <c r="K762" s="131"/>
      <c r="L762" s="131"/>
      <c r="M762" s="131"/>
      <c r="N762" s="131"/>
      <c r="O762" s="132"/>
      <c r="P762" s="155" t="s">
        <v>547</v>
      </c>
    </row>
    <row r="763" spans="1:16" ht="15" x14ac:dyDescent="0.35">
      <c r="A763" t="s">
        <v>543</v>
      </c>
      <c r="B763" t="str">
        <f t="shared" si="103"/>
        <v>iBoxx MSCI GBP Corporates Paris Aligned Capped TCA Index (12/31/2020-02/28/2023 -- pre-trajectory rebase)39</v>
      </c>
      <c r="C763" t="s">
        <v>552</v>
      </c>
      <c r="D763" t="s">
        <v>545</v>
      </c>
      <c r="E763" t="s">
        <v>546</v>
      </c>
      <c r="F763">
        <v>39</v>
      </c>
      <c r="G763" t="s">
        <v>535</v>
      </c>
      <c r="H763" s="26">
        <v>45382</v>
      </c>
      <c r="I763" s="131"/>
      <c r="J763" s="131"/>
      <c r="K763" s="131"/>
      <c r="L763" s="131"/>
      <c r="M763" s="131"/>
      <c r="N763" s="131"/>
      <c r="O763" s="132"/>
      <c r="P763" s="155" t="s">
        <v>547</v>
      </c>
    </row>
    <row r="764" spans="1:16" ht="15" x14ac:dyDescent="0.35">
      <c r="A764" t="s">
        <v>543</v>
      </c>
      <c r="B764" t="str">
        <f t="shared" si="103"/>
        <v>iBoxx MSCI GBP Corporates Paris Aligned Capped TCA Index (12/31/2020-02/28/2023 -- pre-trajectory rebase)40</v>
      </c>
      <c r="C764" t="s">
        <v>552</v>
      </c>
      <c r="D764" t="s">
        <v>545</v>
      </c>
      <c r="E764" t="s">
        <v>546</v>
      </c>
      <c r="F764">
        <v>40</v>
      </c>
      <c r="G764" t="s">
        <v>535</v>
      </c>
      <c r="H764" s="26">
        <v>45412</v>
      </c>
      <c r="I764" s="131"/>
      <c r="J764" s="131"/>
      <c r="K764" s="131"/>
      <c r="L764" s="131"/>
      <c r="M764" s="131"/>
      <c r="N764" s="131"/>
      <c r="O764" s="132"/>
      <c r="P764" s="155" t="s">
        <v>547</v>
      </c>
    </row>
    <row r="765" spans="1:16" ht="15" x14ac:dyDescent="0.35">
      <c r="A765" t="s">
        <v>543</v>
      </c>
      <c r="B765" t="str">
        <f t="shared" si="103"/>
        <v>iBoxx MSCI GBP Corporates Paris Aligned Capped TCA Index (12/31/2020-02/28/2023 -- pre-trajectory rebase)41</v>
      </c>
      <c r="C765" t="s">
        <v>552</v>
      </c>
      <c r="D765" t="s">
        <v>545</v>
      </c>
      <c r="E765" t="s">
        <v>546</v>
      </c>
      <c r="F765">
        <v>41</v>
      </c>
      <c r="G765" t="s">
        <v>535</v>
      </c>
      <c r="H765" s="26">
        <v>45443</v>
      </c>
      <c r="I765" s="131"/>
      <c r="J765" s="131"/>
      <c r="K765" s="131"/>
      <c r="L765" s="131"/>
      <c r="M765" s="131"/>
      <c r="N765" s="131"/>
      <c r="O765" s="132"/>
      <c r="P765" s="155" t="s">
        <v>547</v>
      </c>
    </row>
    <row r="766" spans="1:16" ht="15" x14ac:dyDescent="0.35">
      <c r="A766" t="s">
        <v>543</v>
      </c>
      <c r="B766" t="str">
        <f t="shared" si="103"/>
        <v>iBoxx MSCI GBP Corporates Paris Aligned Capped TCA Index (12/31/2020-02/28/2023 -- pre-trajectory rebase)42</v>
      </c>
      <c r="C766" t="s">
        <v>552</v>
      </c>
      <c r="D766" t="s">
        <v>545</v>
      </c>
      <c r="E766" t="s">
        <v>546</v>
      </c>
      <c r="F766">
        <v>42</v>
      </c>
      <c r="G766" t="s">
        <v>535</v>
      </c>
      <c r="H766" s="26">
        <v>45473</v>
      </c>
      <c r="I766" s="131"/>
      <c r="J766" s="131"/>
      <c r="K766" s="131"/>
      <c r="L766" s="131"/>
      <c r="M766" s="131"/>
      <c r="N766" s="131"/>
      <c r="O766" s="132"/>
      <c r="P766" s="155" t="s">
        <v>547</v>
      </c>
    </row>
    <row r="767" spans="1:16" ht="15" x14ac:dyDescent="0.35">
      <c r="A767" t="s">
        <v>543</v>
      </c>
      <c r="B767" t="str">
        <f t="shared" si="103"/>
        <v>iBoxx MSCI GBP Corporates Paris Aligned Capped TCA Index (12/31/2020-02/28/2023 -- pre-trajectory rebase)43</v>
      </c>
      <c r="C767" t="s">
        <v>552</v>
      </c>
      <c r="D767" t="s">
        <v>545</v>
      </c>
      <c r="E767" t="s">
        <v>546</v>
      </c>
      <c r="F767">
        <v>43</v>
      </c>
      <c r="G767" t="s">
        <v>535</v>
      </c>
      <c r="H767" s="26">
        <v>45504</v>
      </c>
      <c r="I767" s="131"/>
      <c r="J767" s="131"/>
      <c r="K767" s="131"/>
      <c r="L767" s="131"/>
      <c r="M767" s="131"/>
      <c r="N767" s="131"/>
      <c r="O767" s="132"/>
      <c r="P767" s="155" t="s">
        <v>547</v>
      </c>
    </row>
    <row r="768" spans="1:16" ht="15" x14ac:dyDescent="0.35">
      <c r="A768" t="s">
        <v>543</v>
      </c>
      <c r="B768" t="str">
        <f t="shared" si="103"/>
        <v>iBoxx MSCI GBP Corporates Paris Aligned Capped TCA Index (12/31/2020-02/28/2023 -- pre-trajectory rebase)44</v>
      </c>
      <c r="C768" t="s">
        <v>552</v>
      </c>
      <c r="D768" t="s">
        <v>545</v>
      </c>
      <c r="E768" t="s">
        <v>546</v>
      </c>
      <c r="F768">
        <v>44</v>
      </c>
      <c r="G768" t="s">
        <v>535</v>
      </c>
      <c r="H768" s="26">
        <v>45535</v>
      </c>
      <c r="I768" s="131"/>
      <c r="J768" s="131"/>
      <c r="K768" s="131"/>
      <c r="L768" s="131"/>
      <c r="M768" s="131"/>
      <c r="N768" s="131"/>
      <c r="O768" s="132"/>
      <c r="P768" s="155" t="s">
        <v>547</v>
      </c>
    </row>
    <row r="769" spans="1:16" ht="15" x14ac:dyDescent="0.35">
      <c r="A769" t="s">
        <v>543</v>
      </c>
      <c r="B769" t="str">
        <f t="shared" si="103"/>
        <v>iBoxx MSCI GBP Corporates Paris Aligned Capped TCA Index (12/31/2020-02/28/2023 -- pre-trajectory rebase)45</v>
      </c>
      <c r="C769" t="s">
        <v>552</v>
      </c>
      <c r="D769" t="s">
        <v>545</v>
      </c>
      <c r="E769" t="s">
        <v>546</v>
      </c>
      <c r="F769">
        <v>45</v>
      </c>
      <c r="G769" t="s">
        <v>535</v>
      </c>
      <c r="H769" s="26">
        <v>45565</v>
      </c>
      <c r="I769" s="131"/>
      <c r="J769" s="131"/>
      <c r="K769" s="131"/>
      <c r="L769" s="131"/>
      <c r="M769" s="131"/>
      <c r="N769" s="131"/>
      <c r="O769" s="132"/>
      <c r="P769" s="155" t="s">
        <v>547</v>
      </c>
    </row>
    <row r="770" spans="1:16" ht="15" x14ac:dyDescent="0.35">
      <c r="A770" t="s">
        <v>543</v>
      </c>
      <c r="B770" t="str">
        <f t="shared" si="103"/>
        <v>iBoxx MSCI GBP Corporates Paris Aligned Capped TCA Index (12/31/2020-02/28/2023 -- pre-trajectory rebase)46</v>
      </c>
      <c r="C770" t="s">
        <v>552</v>
      </c>
      <c r="D770" t="s">
        <v>545</v>
      </c>
      <c r="E770" t="s">
        <v>546</v>
      </c>
      <c r="F770">
        <v>46</v>
      </c>
      <c r="G770" t="s">
        <v>535</v>
      </c>
      <c r="H770" s="26">
        <v>45596</v>
      </c>
      <c r="I770" s="131"/>
      <c r="J770" s="131"/>
      <c r="K770" s="131"/>
      <c r="L770" s="131"/>
      <c r="M770" s="131"/>
      <c r="N770" s="131"/>
      <c r="O770" s="132"/>
      <c r="P770" s="155" t="s">
        <v>547</v>
      </c>
    </row>
    <row r="771" spans="1:16" ht="15" x14ac:dyDescent="0.35">
      <c r="A771" t="s">
        <v>543</v>
      </c>
      <c r="B771" t="str">
        <f t="shared" si="103"/>
        <v>iBoxx MSCI GBP Corporates Paris Aligned Capped TCA Index (12/31/2020-02/28/2023 -- pre-trajectory rebase)47</v>
      </c>
      <c r="C771" t="s">
        <v>552</v>
      </c>
      <c r="D771" t="s">
        <v>545</v>
      </c>
      <c r="E771" t="s">
        <v>546</v>
      </c>
      <c r="F771">
        <v>47</v>
      </c>
      <c r="G771" t="s">
        <v>535</v>
      </c>
      <c r="H771" s="26">
        <v>45626</v>
      </c>
      <c r="I771" s="131"/>
      <c r="J771" s="131"/>
      <c r="K771" s="131"/>
      <c r="L771" s="131"/>
      <c r="M771" s="131"/>
      <c r="N771" s="131"/>
      <c r="O771" s="132"/>
      <c r="P771" s="155" t="s">
        <v>547</v>
      </c>
    </row>
    <row r="772" spans="1:16" ht="15" x14ac:dyDescent="0.35">
      <c r="A772" t="s">
        <v>543</v>
      </c>
      <c r="B772" t="str">
        <f t="shared" si="103"/>
        <v>iBoxx MSCI GBP Corporates Paris Aligned Capped TCA Index (12/31/2020-02/28/2023 -- pre-trajectory rebase)48</v>
      </c>
      <c r="C772" t="s">
        <v>552</v>
      </c>
      <c r="D772" t="s">
        <v>545</v>
      </c>
      <c r="E772" t="s">
        <v>546</v>
      </c>
      <c r="F772">
        <v>48</v>
      </c>
      <c r="G772" t="s">
        <v>535</v>
      </c>
      <c r="H772" s="26">
        <v>45657</v>
      </c>
      <c r="I772" s="131"/>
      <c r="J772" s="131"/>
      <c r="K772" s="131"/>
      <c r="L772" s="131"/>
      <c r="M772" s="131"/>
      <c r="N772" s="131"/>
      <c r="O772" s="132"/>
      <c r="P772" s="155" t="s">
        <v>547</v>
      </c>
    </row>
    <row r="773" spans="1:16" ht="15" x14ac:dyDescent="0.35">
      <c r="A773" t="s">
        <v>543</v>
      </c>
      <c r="B773" t="str">
        <f t="shared" si="103"/>
        <v>iBoxx MSCI GBP Corporates Paris Aligned Capped TCA Index (12/31/2020-02/28/2023 -- pre-trajectory rebase)49</v>
      </c>
      <c r="C773" t="s">
        <v>552</v>
      </c>
      <c r="D773" t="s">
        <v>545</v>
      </c>
      <c r="E773" t="s">
        <v>546</v>
      </c>
      <c r="F773">
        <v>49</v>
      </c>
      <c r="G773" t="s">
        <v>535</v>
      </c>
      <c r="H773" s="26">
        <v>45688</v>
      </c>
      <c r="I773" s="131"/>
      <c r="J773" s="131"/>
      <c r="K773" s="131"/>
      <c r="L773" s="131"/>
      <c r="M773" s="131"/>
      <c r="N773" s="131"/>
      <c r="O773" s="132"/>
      <c r="P773" s="155" t="s">
        <v>547</v>
      </c>
    </row>
    <row r="774" spans="1:16" ht="15" x14ac:dyDescent="0.35">
      <c r="A774" t="s">
        <v>543</v>
      </c>
      <c r="B774" t="str">
        <f t="shared" si="103"/>
        <v>iBoxx MSCI GBP Corporates Paris Aligned Capped TCA Index (12/31/2020-02/28/2023 -- pre-trajectory rebase)50</v>
      </c>
      <c r="C774" t="s">
        <v>552</v>
      </c>
      <c r="D774" t="s">
        <v>545</v>
      </c>
      <c r="E774" t="s">
        <v>546</v>
      </c>
      <c r="F774">
        <v>50</v>
      </c>
      <c r="G774" t="s">
        <v>535</v>
      </c>
      <c r="H774" s="26">
        <v>45716</v>
      </c>
      <c r="I774" s="131"/>
      <c r="J774" s="131"/>
      <c r="K774" s="131"/>
      <c r="L774" s="131"/>
      <c r="M774" s="131"/>
      <c r="N774" s="131"/>
      <c r="O774" s="132"/>
      <c r="P774" s="155" t="s">
        <v>547</v>
      </c>
    </row>
    <row r="775" spans="1:16" ht="15" x14ac:dyDescent="0.35">
      <c r="A775" t="s">
        <v>543</v>
      </c>
      <c r="B775" t="str">
        <f t="shared" si="103"/>
        <v>iBoxx MSCI GBP Corporates Paris Aligned Capped TCA Index (12/31/2020-02/28/2023 -- pre-trajectory rebase)51</v>
      </c>
      <c r="C775" t="s">
        <v>552</v>
      </c>
      <c r="D775" t="s">
        <v>545</v>
      </c>
      <c r="E775" t="s">
        <v>546</v>
      </c>
      <c r="F775">
        <v>51</v>
      </c>
      <c r="G775" t="s">
        <v>535</v>
      </c>
      <c r="H775" s="26">
        <v>45747</v>
      </c>
      <c r="I775" s="131"/>
      <c r="J775" s="131"/>
      <c r="K775" s="131"/>
      <c r="L775" s="131"/>
      <c r="M775" s="131"/>
      <c r="N775" s="131"/>
      <c r="O775" s="132"/>
      <c r="P775" s="155" t="s">
        <v>547</v>
      </c>
    </row>
    <row r="776" spans="1:16" ht="15" x14ac:dyDescent="0.35">
      <c r="A776" t="s">
        <v>543</v>
      </c>
      <c r="B776" t="str">
        <f t="shared" si="103"/>
        <v>iBoxx MSCI GBP Corporates Paris Aligned Capped TCA Index (12/31/2020-02/28/2023 -- pre-trajectory rebase)52</v>
      </c>
      <c r="C776" t="s">
        <v>552</v>
      </c>
      <c r="D776" t="s">
        <v>545</v>
      </c>
      <c r="E776" t="s">
        <v>546</v>
      </c>
      <c r="F776">
        <v>52</v>
      </c>
      <c r="G776" t="s">
        <v>535</v>
      </c>
      <c r="H776" s="26">
        <v>45777</v>
      </c>
      <c r="I776" s="131"/>
      <c r="J776" s="131"/>
      <c r="K776" s="131"/>
      <c r="L776" s="131"/>
      <c r="M776" s="131"/>
      <c r="N776" s="131"/>
      <c r="O776" s="132"/>
      <c r="P776" s="155" t="s">
        <v>547</v>
      </c>
    </row>
    <row r="777" spans="1:16" ht="15" x14ac:dyDescent="0.35">
      <c r="A777" t="s">
        <v>543</v>
      </c>
      <c r="B777" t="str">
        <f t="shared" si="103"/>
        <v>iBoxx MSCI GBP Corporates Paris Aligned Capped TCA Index (12/31/2020-02/28/2023 -- pre-trajectory rebase)53</v>
      </c>
      <c r="C777" t="s">
        <v>552</v>
      </c>
      <c r="D777" t="s">
        <v>545</v>
      </c>
      <c r="E777" t="s">
        <v>546</v>
      </c>
      <c r="F777">
        <v>53</v>
      </c>
      <c r="G777" t="s">
        <v>535</v>
      </c>
      <c r="H777" s="26">
        <v>45808</v>
      </c>
      <c r="I777" s="131"/>
      <c r="J777" s="131"/>
      <c r="K777" s="131"/>
      <c r="L777" s="131"/>
      <c r="M777" s="131"/>
      <c r="N777" s="131"/>
      <c r="O777" s="132"/>
      <c r="P777" s="155" t="s">
        <v>547</v>
      </c>
    </row>
    <row r="778" spans="1:16" ht="15" x14ac:dyDescent="0.35">
      <c r="A778" t="s">
        <v>543</v>
      </c>
      <c r="B778" t="str">
        <f t="shared" si="103"/>
        <v>iBoxx MSCI GBP Corporates Paris Aligned Capped TCA Index (12/31/2020-02/28/2023 -- pre-trajectory rebase)54</v>
      </c>
      <c r="C778" t="s">
        <v>552</v>
      </c>
      <c r="D778" t="s">
        <v>545</v>
      </c>
      <c r="E778" t="s">
        <v>546</v>
      </c>
      <c r="F778">
        <v>54</v>
      </c>
      <c r="G778" t="s">
        <v>535</v>
      </c>
      <c r="H778" s="26">
        <v>45838</v>
      </c>
      <c r="I778" s="131"/>
      <c r="J778" s="131"/>
      <c r="K778" s="131"/>
      <c r="L778" s="131"/>
      <c r="M778" s="131"/>
      <c r="N778" s="131"/>
      <c r="O778" s="132"/>
      <c r="P778" s="155" t="s">
        <v>547</v>
      </c>
    </row>
    <row r="779" spans="1:16" ht="15" x14ac:dyDescent="0.35">
      <c r="A779" t="s">
        <v>543</v>
      </c>
      <c r="B779" t="str">
        <f t="shared" si="103"/>
        <v>iBoxx MSCI GBP Corporates Paris Aligned Capped TCA Index (12/31/2020-02/28/2023 -- pre-trajectory rebase)55</v>
      </c>
      <c r="C779" t="s">
        <v>552</v>
      </c>
      <c r="D779" t="s">
        <v>545</v>
      </c>
      <c r="E779" t="s">
        <v>546</v>
      </c>
      <c r="F779">
        <v>55</v>
      </c>
      <c r="G779" t="s">
        <v>535</v>
      </c>
      <c r="H779" s="26">
        <v>45869</v>
      </c>
      <c r="I779" s="131"/>
      <c r="J779" s="131"/>
      <c r="K779" s="131"/>
      <c r="L779" s="131"/>
      <c r="M779" s="131"/>
      <c r="N779" s="131"/>
      <c r="O779" s="132"/>
      <c r="P779" s="155" t="s">
        <v>547</v>
      </c>
    </row>
    <row r="780" spans="1:16" ht="15" x14ac:dyDescent="0.35">
      <c r="A780" t="s">
        <v>543</v>
      </c>
      <c r="B780" t="str">
        <f t="shared" si="103"/>
        <v>iBoxx MSCI GBP Corporates Paris Aligned Capped TCA Index (12/31/2020-02/28/2023 -- pre-trajectory rebase)56</v>
      </c>
      <c r="C780" t="s">
        <v>552</v>
      </c>
      <c r="D780" t="s">
        <v>545</v>
      </c>
      <c r="E780" t="s">
        <v>546</v>
      </c>
      <c r="F780">
        <v>56</v>
      </c>
      <c r="G780" t="s">
        <v>535</v>
      </c>
      <c r="H780" s="26">
        <v>45900</v>
      </c>
      <c r="I780" s="131"/>
      <c r="J780" s="131"/>
      <c r="K780" s="131"/>
      <c r="L780" s="131"/>
      <c r="M780" s="131"/>
      <c r="N780" s="131"/>
      <c r="O780" s="132"/>
      <c r="P780" s="155" t="s">
        <v>547</v>
      </c>
    </row>
    <row r="781" spans="1:16" ht="15" x14ac:dyDescent="0.35">
      <c r="A781" t="s">
        <v>543</v>
      </c>
      <c r="B781" t="str">
        <f t="shared" si="103"/>
        <v>iBoxx MSCI GBP Corporates Paris Aligned Capped TCA Index (12/31/2020-02/28/2023 -- pre-trajectory rebase)57</v>
      </c>
      <c r="C781" t="s">
        <v>552</v>
      </c>
      <c r="D781" t="s">
        <v>545</v>
      </c>
      <c r="E781" t="s">
        <v>546</v>
      </c>
      <c r="F781">
        <v>57</v>
      </c>
      <c r="G781" t="s">
        <v>535</v>
      </c>
      <c r="H781" s="26">
        <v>45930</v>
      </c>
      <c r="I781" s="131"/>
      <c r="J781" s="131"/>
      <c r="K781" s="131"/>
      <c r="L781" s="131"/>
      <c r="M781" s="131"/>
      <c r="N781" s="131"/>
      <c r="O781" s="132"/>
      <c r="P781" s="155" t="s">
        <v>547</v>
      </c>
    </row>
    <row r="782" spans="1:16" ht="15" x14ac:dyDescent="0.35">
      <c r="A782" t="s">
        <v>543</v>
      </c>
      <c r="B782" t="str">
        <f t="shared" si="103"/>
        <v>iBoxx MSCI GBP Corporates Paris Aligned Capped TCA Index (12/31/2020-02/28/2023 -- pre-trajectory rebase)58</v>
      </c>
      <c r="C782" t="s">
        <v>552</v>
      </c>
      <c r="D782" t="s">
        <v>545</v>
      </c>
      <c r="E782" t="s">
        <v>546</v>
      </c>
      <c r="F782">
        <v>58</v>
      </c>
      <c r="G782" t="s">
        <v>535</v>
      </c>
      <c r="H782" s="26">
        <v>45961</v>
      </c>
      <c r="I782" s="131"/>
      <c r="J782" s="131"/>
      <c r="K782" s="131"/>
      <c r="L782" s="131"/>
      <c r="M782" s="131"/>
      <c r="N782" s="131"/>
      <c r="O782" s="132"/>
      <c r="P782" s="155" t="s">
        <v>547</v>
      </c>
    </row>
    <row r="783" spans="1:16" ht="15" x14ac:dyDescent="0.35">
      <c r="A783" t="s">
        <v>543</v>
      </c>
      <c r="B783" t="str">
        <f t="shared" si="103"/>
        <v>iBoxx MSCI GBP Corporates Paris Aligned Capped TCA Index (12/31/2020-02/28/2023 -- pre-trajectory rebase)59</v>
      </c>
      <c r="C783" t="s">
        <v>552</v>
      </c>
      <c r="D783" t="s">
        <v>545</v>
      </c>
      <c r="E783" t="s">
        <v>546</v>
      </c>
      <c r="F783">
        <v>59</v>
      </c>
      <c r="G783" t="s">
        <v>535</v>
      </c>
      <c r="H783" s="26">
        <v>45991</v>
      </c>
      <c r="I783" s="131"/>
      <c r="J783" s="131"/>
      <c r="K783" s="131"/>
      <c r="L783" s="131"/>
      <c r="M783" s="131"/>
      <c r="N783" s="131"/>
      <c r="O783" s="132"/>
      <c r="P783" s="155" t="s">
        <v>547</v>
      </c>
    </row>
    <row r="784" spans="1:16" ht="15" x14ac:dyDescent="0.35">
      <c r="A784" t="s">
        <v>543</v>
      </c>
      <c r="B784" t="str">
        <f t="shared" si="103"/>
        <v>iBoxx MSCI GBP Corporates Paris Aligned Capped TCA Index (12/31/2020-02/28/2023 -- pre-trajectory rebase)60</v>
      </c>
      <c r="C784" t="s">
        <v>552</v>
      </c>
      <c r="D784" t="s">
        <v>545</v>
      </c>
      <c r="E784" t="s">
        <v>546</v>
      </c>
      <c r="F784">
        <v>60</v>
      </c>
      <c r="G784" t="s">
        <v>535</v>
      </c>
      <c r="H784" s="26">
        <v>46022</v>
      </c>
      <c r="I784" s="131"/>
      <c r="J784" s="131"/>
      <c r="K784" s="131"/>
      <c r="L784" s="131"/>
      <c r="M784" s="131"/>
      <c r="N784" s="131"/>
      <c r="O784" s="132"/>
      <c r="P784" s="155" t="s">
        <v>547</v>
      </c>
    </row>
    <row r="785" spans="1:16" ht="15" x14ac:dyDescent="0.35">
      <c r="A785" t="s">
        <v>543</v>
      </c>
      <c r="B785" t="str">
        <f t="shared" si="103"/>
        <v>iBoxx MSCI GBP Corporates Paris Aligned Capped TCA Index (12/31/2020-02/28/2023 -- pre-trajectory rebase)61</v>
      </c>
      <c r="C785" t="s">
        <v>552</v>
      </c>
      <c r="D785" t="s">
        <v>545</v>
      </c>
      <c r="E785" t="s">
        <v>546</v>
      </c>
      <c r="F785">
        <v>61</v>
      </c>
      <c r="G785" t="s">
        <v>535</v>
      </c>
      <c r="H785" s="26">
        <v>46053</v>
      </c>
      <c r="I785" s="131"/>
      <c r="J785" s="131"/>
      <c r="K785" s="131"/>
      <c r="L785" s="131"/>
      <c r="M785" s="131"/>
      <c r="N785" s="131"/>
      <c r="O785" s="132"/>
      <c r="P785" s="155" t="s">
        <v>547</v>
      </c>
    </row>
    <row r="786" spans="1:16" ht="15" x14ac:dyDescent="0.35">
      <c r="A786" t="s">
        <v>543</v>
      </c>
      <c r="B786" t="str">
        <f t="shared" si="103"/>
        <v>iBoxx MSCI GBP Corporates Paris Aligned Capped TCA Index (12/31/2020-02/28/2023 -- pre-trajectory rebase)62</v>
      </c>
      <c r="C786" t="s">
        <v>552</v>
      </c>
      <c r="D786" t="s">
        <v>545</v>
      </c>
      <c r="E786" t="s">
        <v>546</v>
      </c>
      <c r="F786">
        <v>62</v>
      </c>
      <c r="G786" t="s">
        <v>535</v>
      </c>
      <c r="H786" s="26">
        <v>46081</v>
      </c>
      <c r="I786" s="131"/>
      <c r="J786" s="131"/>
      <c r="K786" s="131"/>
      <c r="L786" s="131"/>
      <c r="M786" s="131"/>
      <c r="N786" s="131"/>
      <c r="O786" s="132"/>
      <c r="P786" s="155" t="s">
        <v>547</v>
      </c>
    </row>
    <row r="787" spans="1:16" ht="15" x14ac:dyDescent="0.35">
      <c r="A787" t="s">
        <v>543</v>
      </c>
      <c r="B787" t="str">
        <f t="shared" si="103"/>
        <v>iBoxx MSCI GBP Corporates Paris Aligned Capped TCA Index (12/31/2020-02/28/2023 -- pre-trajectory rebase)63</v>
      </c>
      <c r="C787" t="s">
        <v>552</v>
      </c>
      <c r="D787" t="s">
        <v>545</v>
      </c>
      <c r="E787" t="s">
        <v>546</v>
      </c>
      <c r="F787">
        <v>63</v>
      </c>
      <c r="G787" t="s">
        <v>535</v>
      </c>
      <c r="H787" s="26">
        <v>46112</v>
      </c>
      <c r="I787" s="131"/>
      <c r="J787" s="131"/>
      <c r="K787" s="131"/>
      <c r="L787" s="131"/>
      <c r="M787" s="131"/>
      <c r="N787" s="131"/>
      <c r="O787" s="132"/>
      <c r="P787" s="155" t="s">
        <v>547</v>
      </c>
    </row>
    <row r="788" spans="1:16" ht="15" x14ac:dyDescent="0.35">
      <c r="A788" t="s">
        <v>543</v>
      </c>
      <c r="B788" t="str">
        <f t="shared" si="103"/>
        <v>iBoxx MSCI GBP Corporates Paris Aligned Capped TCA Index (12/31/2020-02/28/2023 -- pre-trajectory rebase)64</v>
      </c>
      <c r="C788" t="s">
        <v>552</v>
      </c>
      <c r="D788" t="s">
        <v>545</v>
      </c>
      <c r="E788" t="s">
        <v>546</v>
      </c>
      <c r="F788">
        <v>64</v>
      </c>
      <c r="G788" t="s">
        <v>535</v>
      </c>
      <c r="H788" s="26">
        <v>46142</v>
      </c>
      <c r="I788" s="131"/>
      <c r="J788" s="131"/>
      <c r="K788" s="131"/>
      <c r="L788" s="131"/>
      <c r="M788" s="131"/>
      <c r="N788" s="131"/>
      <c r="O788" s="132"/>
      <c r="P788" s="155" t="s">
        <v>547</v>
      </c>
    </row>
    <row r="789" spans="1:16" ht="15" x14ac:dyDescent="0.35">
      <c r="A789" t="s">
        <v>543</v>
      </c>
      <c r="B789" t="str">
        <f t="shared" ref="B789:B843" si="107">_xlfn.CONCAT(C789,F789)</f>
        <v>iBoxx MSCI GBP Corporates Paris Aligned Capped TCA Index (12/31/2020-02/28/2023 -- pre-trajectory rebase)65</v>
      </c>
      <c r="C789" t="s">
        <v>552</v>
      </c>
      <c r="D789" t="s">
        <v>545</v>
      </c>
      <c r="E789" t="s">
        <v>546</v>
      </c>
      <c r="F789">
        <v>65</v>
      </c>
      <c r="G789" t="s">
        <v>535</v>
      </c>
      <c r="H789" s="26">
        <v>46173</v>
      </c>
      <c r="I789" s="131"/>
      <c r="J789" s="131"/>
      <c r="K789" s="131"/>
      <c r="L789" s="131"/>
      <c r="M789" s="131"/>
      <c r="N789" s="131"/>
      <c r="O789" s="132"/>
      <c r="P789" s="155" t="s">
        <v>547</v>
      </c>
    </row>
    <row r="790" spans="1:16" ht="15" x14ac:dyDescent="0.35">
      <c r="A790" t="s">
        <v>543</v>
      </c>
      <c r="B790" t="str">
        <f t="shared" si="107"/>
        <v>iBoxx MSCI GBP Corporates Paris Aligned Capped TCA Index (12/31/2020-02/28/2023 -- pre-trajectory rebase)66</v>
      </c>
      <c r="C790" t="s">
        <v>552</v>
      </c>
      <c r="D790" t="s">
        <v>545</v>
      </c>
      <c r="E790" t="s">
        <v>546</v>
      </c>
      <c r="F790">
        <v>66</v>
      </c>
      <c r="G790" t="s">
        <v>535</v>
      </c>
      <c r="H790" s="26">
        <v>46203</v>
      </c>
      <c r="I790" s="131"/>
      <c r="J790" s="131"/>
      <c r="K790" s="131"/>
      <c r="L790" s="131"/>
      <c r="M790" s="131"/>
      <c r="N790" s="131"/>
      <c r="O790" s="132"/>
      <c r="P790" s="155" t="s">
        <v>547</v>
      </c>
    </row>
    <row r="791" spans="1:16" ht="15" x14ac:dyDescent="0.35">
      <c r="A791" t="s">
        <v>543</v>
      </c>
      <c r="B791" t="str">
        <f t="shared" si="107"/>
        <v>iBoxx MSCI GBP Corporates Paris Aligned Capped TCA Index (12/31/2020-02/28/2023 -- pre-trajectory rebase)67</v>
      </c>
      <c r="C791" t="s">
        <v>552</v>
      </c>
      <c r="D791" t="s">
        <v>545</v>
      </c>
      <c r="E791" t="s">
        <v>546</v>
      </c>
      <c r="F791">
        <v>67</v>
      </c>
      <c r="G791" t="s">
        <v>535</v>
      </c>
      <c r="H791" s="26">
        <v>46234</v>
      </c>
      <c r="I791" s="131"/>
      <c r="J791" s="131"/>
      <c r="K791" s="131"/>
      <c r="L791" s="131"/>
      <c r="M791" s="131"/>
      <c r="N791" s="131"/>
      <c r="O791" s="132"/>
      <c r="P791" s="155" t="s">
        <v>547</v>
      </c>
    </row>
    <row r="792" spans="1:16" ht="15" x14ac:dyDescent="0.35">
      <c r="A792" t="s">
        <v>543</v>
      </c>
      <c r="B792" t="str">
        <f t="shared" si="107"/>
        <v>iBoxx MSCI GBP Corporates Paris Aligned Capped TCA Index (12/31/2020-02/28/2023 -- pre-trajectory rebase)68</v>
      </c>
      <c r="C792" t="s">
        <v>552</v>
      </c>
      <c r="D792" t="s">
        <v>545</v>
      </c>
      <c r="E792" t="s">
        <v>546</v>
      </c>
      <c r="F792">
        <v>68</v>
      </c>
      <c r="G792" t="s">
        <v>535</v>
      </c>
      <c r="H792" s="26">
        <v>46265</v>
      </c>
      <c r="I792" s="131"/>
      <c r="J792" s="131"/>
      <c r="K792" s="131"/>
      <c r="L792" s="131"/>
      <c r="M792" s="131"/>
      <c r="N792" s="131"/>
      <c r="O792" s="132"/>
      <c r="P792" s="155" t="s">
        <v>547</v>
      </c>
    </row>
    <row r="793" spans="1:16" ht="15" x14ac:dyDescent="0.35">
      <c r="A793" t="s">
        <v>543</v>
      </c>
      <c r="B793" t="str">
        <f t="shared" si="107"/>
        <v>iBoxx MSCI GBP Corporates Paris Aligned Capped TCA Index (12/31/2020-02/28/2023 -- pre-trajectory rebase)69</v>
      </c>
      <c r="C793" t="s">
        <v>552</v>
      </c>
      <c r="D793" t="s">
        <v>545</v>
      </c>
      <c r="E793" t="s">
        <v>546</v>
      </c>
      <c r="F793">
        <v>69</v>
      </c>
      <c r="G793" t="s">
        <v>535</v>
      </c>
      <c r="H793" s="26">
        <v>46295</v>
      </c>
      <c r="I793" s="131"/>
      <c r="J793" s="131"/>
      <c r="K793" s="131"/>
      <c r="L793" s="131"/>
      <c r="M793" s="131"/>
      <c r="N793" s="131"/>
      <c r="O793" s="132"/>
      <c r="P793" s="155" t="s">
        <v>547</v>
      </c>
    </row>
    <row r="794" spans="1:16" ht="15" x14ac:dyDescent="0.35">
      <c r="A794" t="s">
        <v>543</v>
      </c>
      <c r="B794" t="str">
        <f t="shared" si="107"/>
        <v>iBoxx MSCI GBP Corporates Paris Aligned Capped TCA Index (12/31/2020-02/28/2023 -- pre-trajectory rebase)70</v>
      </c>
      <c r="C794" t="s">
        <v>552</v>
      </c>
      <c r="D794" t="s">
        <v>545</v>
      </c>
      <c r="E794" t="s">
        <v>546</v>
      </c>
      <c r="F794">
        <v>70</v>
      </c>
      <c r="G794" t="s">
        <v>535</v>
      </c>
      <c r="H794" s="26">
        <v>46326</v>
      </c>
      <c r="I794" s="131"/>
      <c r="J794" s="131"/>
      <c r="K794" s="131"/>
      <c r="L794" s="131"/>
      <c r="M794" s="131"/>
      <c r="N794" s="131"/>
      <c r="O794" s="132"/>
      <c r="P794" s="155" t="s">
        <v>547</v>
      </c>
    </row>
    <row r="795" spans="1:16" ht="15" x14ac:dyDescent="0.35">
      <c r="A795" t="s">
        <v>543</v>
      </c>
      <c r="B795" t="str">
        <f t="shared" si="107"/>
        <v>iBoxx MSCI GBP Corporates Paris Aligned Capped TCA Index (12/31/2020-02/28/2023 -- pre-trajectory rebase)71</v>
      </c>
      <c r="C795" t="s">
        <v>552</v>
      </c>
      <c r="D795" t="s">
        <v>545</v>
      </c>
      <c r="E795" t="s">
        <v>546</v>
      </c>
      <c r="F795">
        <v>71</v>
      </c>
      <c r="G795" t="s">
        <v>535</v>
      </c>
      <c r="H795" s="26">
        <v>46356</v>
      </c>
      <c r="I795" s="131"/>
      <c r="J795" s="131"/>
      <c r="K795" s="131"/>
      <c r="L795" s="131"/>
      <c r="M795" s="131"/>
      <c r="N795" s="131"/>
      <c r="O795" s="132"/>
      <c r="P795" s="155" t="s">
        <v>547</v>
      </c>
    </row>
    <row r="796" spans="1:16" ht="15" x14ac:dyDescent="0.35">
      <c r="A796" t="s">
        <v>543</v>
      </c>
      <c r="B796" t="str">
        <f t="shared" si="107"/>
        <v>iBoxx MSCI GBP Corporates Paris Aligned Capped TCA Index (12/31/2020-02/28/2023 -- pre-trajectory rebase)72</v>
      </c>
      <c r="C796" t="s">
        <v>552</v>
      </c>
      <c r="D796" t="s">
        <v>545</v>
      </c>
      <c r="E796" t="s">
        <v>546</v>
      </c>
      <c r="F796">
        <v>72</v>
      </c>
      <c r="G796" t="s">
        <v>535</v>
      </c>
      <c r="H796" s="26">
        <v>46387</v>
      </c>
      <c r="I796" s="131"/>
      <c r="J796" s="131"/>
      <c r="K796" s="131"/>
      <c r="L796" s="131"/>
      <c r="M796" s="131"/>
      <c r="N796" s="131"/>
      <c r="O796" s="132"/>
      <c r="P796" s="155" t="s">
        <v>547</v>
      </c>
    </row>
    <row r="797" spans="1:16" ht="15" x14ac:dyDescent="0.35">
      <c r="A797" t="s">
        <v>543</v>
      </c>
      <c r="B797" t="str">
        <f t="shared" si="107"/>
        <v>iBoxx MSCI GBP Corporates Paris Aligned Capped TCA Index (12/31/2020-02/28/2023 -- pre-trajectory rebase)73</v>
      </c>
      <c r="C797" t="s">
        <v>552</v>
      </c>
      <c r="D797" t="s">
        <v>545</v>
      </c>
      <c r="E797" t="s">
        <v>546</v>
      </c>
      <c r="F797">
        <v>73</v>
      </c>
      <c r="G797" t="s">
        <v>535</v>
      </c>
      <c r="H797" s="26">
        <v>46418</v>
      </c>
      <c r="I797" s="131"/>
      <c r="J797" s="131"/>
      <c r="K797" s="131"/>
      <c r="L797" s="131"/>
      <c r="M797" s="131"/>
      <c r="N797" s="131"/>
      <c r="O797" s="132"/>
      <c r="P797" s="155" t="s">
        <v>547</v>
      </c>
    </row>
    <row r="798" spans="1:16" ht="15" x14ac:dyDescent="0.35">
      <c r="A798" t="s">
        <v>543</v>
      </c>
      <c r="B798" t="str">
        <f t="shared" si="107"/>
        <v>iBoxx MSCI GBP Corporates Paris Aligned Capped TCA Index (12/31/2020-02/28/2023 -- pre-trajectory rebase)74</v>
      </c>
      <c r="C798" t="s">
        <v>552</v>
      </c>
      <c r="D798" t="s">
        <v>545</v>
      </c>
      <c r="E798" t="s">
        <v>546</v>
      </c>
      <c r="F798">
        <v>74</v>
      </c>
      <c r="G798" t="s">
        <v>535</v>
      </c>
      <c r="H798" s="26">
        <v>46446</v>
      </c>
      <c r="I798" s="131"/>
      <c r="J798" s="131"/>
      <c r="K798" s="131"/>
      <c r="L798" s="131"/>
      <c r="M798" s="131"/>
      <c r="N798" s="131"/>
      <c r="O798" s="132"/>
      <c r="P798" s="155" t="s">
        <v>547</v>
      </c>
    </row>
    <row r="799" spans="1:16" ht="15" x14ac:dyDescent="0.35">
      <c r="A799" t="s">
        <v>543</v>
      </c>
      <c r="B799" t="str">
        <f t="shared" si="107"/>
        <v>iBoxx MSCI GBP Corporates Paris Aligned Capped TCA Index (12/31/2020-02/28/2023 -- pre-trajectory rebase)75</v>
      </c>
      <c r="C799" t="s">
        <v>552</v>
      </c>
      <c r="D799" t="s">
        <v>545</v>
      </c>
      <c r="E799" t="s">
        <v>546</v>
      </c>
      <c r="F799">
        <v>75</v>
      </c>
      <c r="G799" t="s">
        <v>535</v>
      </c>
      <c r="H799" s="26">
        <v>46477</v>
      </c>
      <c r="I799" s="131"/>
      <c r="J799" s="131"/>
      <c r="K799" s="131"/>
      <c r="L799" s="131"/>
      <c r="M799" s="131"/>
      <c r="N799" s="131"/>
      <c r="O799" s="132"/>
      <c r="P799" s="155" t="s">
        <v>547</v>
      </c>
    </row>
    <row r="800" spans="1:16" ht="15" x14ac:dyDescent="0.35">
      <c r="A800" t="s">
        <v>543</v>
      </c>
      <c r="B800" t="str">
        <f t="shared" si="107"/>
        <v>iBoxx MSCI GBP Corporates Paris Aligned Capped TCA Index (12/31/2020-02/28/2023 -- pre-trajectory rebase)76</v>
      </c>
      <c r="C800" t="s">
        <v>552</v>
      </c>
      <c r="D800" t="s">
        <v>545</v>
      </c>
      <c r="E800" t="s">
        <v>546</v>
      </c>
      <c r="F800">
        <v>76</v>
      </c>
      <c r="G800" t="s">
        <v>535</v>
      </c>
      <c r="H800" s="26">
        <v>46507</v>
      </c>
      <c r="I800" s="131"/>
      <c r="J800" s="131"/>
      <c r="K800" s="131"/>
      <c r="L800" s="131"/>
      <c r="M800" s="131"/>
      <c r="N800" s="131"/>
      <c r="O800" s="132"/>
      <c r="P800" s="155" t="s">
        <v>547</v>
      </c>
    </row>
    <row r="801" spans="1:16" ht="15" x14ac:dyDescent="0.35">
      <c r="A801" t="s">
        <v>543</v>
      </c>
      <c r="B801" t="str">
        <f t="shared" si="107"/>
        <v>iBoxx MSCI GBP Corporates Paris Aligned Capped TCA Index (12/31/2020-02/28/2023 -- pre-trajectory rebase)77</v>
      </c>
      <c r="C801" t="s">
        <v>552</v>
      </c>
      <c r="D801" t="s">
        <v>545</v>
      </c>
      <c r="E801" t="s">
        <v>546</v>
      </c>
      <c r="F801">
        <v>77</v>
      </c>
      <c r="G801" t="s">
        <v>535</v>
      </c>
      <c r="H801" s="26">
        <v>46538</v>
      </c>
      <c r="I801" s="131"/>
      <c r="J801" s="131"/>
      <c r="K801" s="131"/>
      <c r="L801" s="131"/>
      <c r="M801" s="131"/>
      <c r="N801" s="131"/>
      <c r="O801" s="132"/>
      <c r="P801" s="155" t="s">
        <v>547</v>
      </c>
    </row>
    <row r="802" spans="1:16" ht="15" x14ac:dyDescent="0.35">
      <c r="A802" t="s">
        <v>543</v>
      </c>
      <c r="B802" t="str">
        <f t="shared" si="107"/>
        <v>iBoxx MSCI GBP Corporates Paris Aligned Capped TCA Index (12/31/2020-02/28/2023 -- pre-trajectory rebase)78</v>
      </c>
      <c r="C802" t="s">
        <v>552</v>
      </c>
      <c r="D802" t="s">
        <v>545</v>
      </c>
      <c r="E802" t="s">
        <v>546</v>
      </c>
      <c r="F802">
        <v>78</v>
      </c>
      <c r="G802" t="s">
        <v>535</v>
      </c>
      <c r="H802" s="26">
        <v>46568</v>
      </c>
      <c r="I802" s="131"/>
      <c r="J802" s="131"/>
      <c r="K802" s="131"/>
      <c r="L802" s="131"/>
      <c r="M802" s="131"/>
      <c r="N802" s="131"/>
      <c r="O802" s="132"/>
      <c r="P802" s="155" t="s">
        <v>547</v>
      </c>
    </row>
    <row r="803" spans="1:16" ht="15" x14ac:dyDescent="0.35">
      <c r="A803" t="s">
        <v>543</v>
      </c>
      <c r="B803" t="str">
        <f t="shared" si="107"/>
        <v>iBoxx MSCI GBP Corporates Paris Aligned Capped TCA Index (12/31/2020-02/28/2023 -- pre-trajectory rebase)79</v>
      </c>
      <c r="C803" t="s">
        <v>552</v>
      </c>
      <c r="D803" t="s">
        <v>545</v>
      </c>
      <c r="E803" t="s">
        <v>546</v>
      </c>
      <c r="F803">
        <v>79</v>
      </c>
      <c r="G803" t="s">
        <v>535</v>
      </c>
      <c r="H803" s="26">
        <v>46599</v>
      </c>
      <c r="I803" s="131"/>
      <c r="J803" s="131"/>
      <c r="K803" s="131"/>
      <c r="L803" s="131"/>
      <c r="M803" s="131"/>
      <c r="N803" s="131"/>
      <c r="O803" s="132"/>
      <c r="P803" s="155" t="s">
        <v>547</v>
      </c>
    </row>
    <row r="804" spans="1:16" ht="15" x14ac:dyDescent="0.35">
      <c r="A804" t="s">
        <v>543</v>
      </c>
      <c r="B804" t="str">
        <f t="shared" si="107"/>
        <v>iBoxx MSCI GBP Corporates Paris Aligned Capped TCA Index (12/31/2020-02/28/2023 -- pre-trajectory rebase)80</v>
      </c>
      <c r="C804" t="s">
        <v>552</v>
      </c>
      <c r="D804" t="s">
        <v>545</v>
      </c>
      <c r="E804" t="s">
        <v>546</v>
      </c>
      <c r="F804">
        <v>80</v>
      </c>
      <c r="G804" t="s">
        <v>535</v>
      </c>
      <c r="H804" s="26">
        <v>46630</v>
      </c>
      <c r="I804" s="131"/>
      <c r="J804" s="131"/>
      <c r="K804" s="131"/>
      <c r="L804" s="131"/>
      <c r="M804" s="131"/>
      <c r="N804" s="131"/>
      <c r="O804" s="132"/>
      <c r="P804" s="155" t="s">
        <v>547</v>
      </c>
    </row>
    <row r="805" spans="1:16" ht="15" x14ac:dyDescent="0.35">
      <c r="A805" t="s">
        <v>543</v>
      </c>
      <c r="B805" t="str">
        <f t="shared" si="107"/>
        <v>iBoxx MSCI GBP Corporates Paris Aligned Capped TCA Index (12/31/2020-02/28/2023 -- pre-trajectory rebase)81</v>
      </c>
      <c r="C805" t="s">
        <v>552</v>
      </c>
      <c r="D805" t="s">
        <v>545</v>
      </c>
      <c r="E805" t="s">
        <v>546</v>
      </c>
      <c r="F805">
        <v>81</v>
      </c>
      <c r="G805" t="s">
        <v>535</v>
      </c>
      <c r="H805" s="26">
        <v>46660</v>
      </c>
      <c r="I805" s="131"/>
      <c r="J805" s="131"/>
      <c r="K805" s="131"/>
      <c r="L805" s="131"/>
      <c r="M805" s="131"/>
      <c r="N805" s="131"/>
      <c r="O805" s="132"/>
      <c r="P805" s="155" t="s">
        <v>547</v>
      </c>
    </row>
    <row r="806" spans="1:16" ht="15" x14ac:dyDescent="0.35">
      <c r="A806" t="s">
        <v>543</v>
      </c>
      <c r="B806" t="str">
        <f t="shared" si="107"/>
        <v>iBoxx MSCI GBP Corporates Paris Aligned Capped TCA Index (12/31/2020-02/28/2023 -- pre-trajectory rebase)82</v>
      </c>
      <c r="C806" t="s">
        <v>552</v>
      </c>
      <c r="D806" t="s">
        <v>545</v>
      </c>
      <c r="E806" t="s">
        <v>546</v>
      </c>
      <c r="F806">
        <v>82</v>
      </c>
      <c r="G806" t="s">
        <v>535</v>
      </c>
      <c r="H806" s="26">
        <v>46691</v>
      </c>
      <c r="I806" s="131"/>
      <c r="J806" s="131"/>
      <c r="K806" s="131"/>
      <c r="L806" s="131"/>
      <c r="M806" s="131"/>
      <c r="N806" s="131"/>
      <c r="O806" s="132"/>
      <c r="P806" s="155" t="s">
        <v>547</v>
      </c>
    </row>
    <row r="807" spans="1:16" ht="15" x14ac:dyDescent="0.35">
      <c r="A807" t="s">
        <v>543</v>
      </c>
      <c r="B807" t="str">
        <f t="shared" si="107"/>
        <v>iBoxx MSCI GBP Corporates Paris Aligned Capped TCA Index (12/31/2020-02/28/2023 -- pre-trajectory rebase)83</v>
      </c>
      <c r="C807" t="s">
        <v>552</v>
      </c>
      <c r="D807" t="s">
        <v>545</v>
      </c>
      <c r="E807" t="s">
        <v>546</v>
      </c>
      <c r="F807">
        <v>83</v>
      </c>
      <c r="G807" t="s">
        <v>535</v>
      </c>
      <c r="H807" s="26">
        <v>46721</v>
      </c>
      <c r="I807" s="131"/>
      <c r="J807" s="131"/>
      <c r="K807" s="131"/>
      <c r="L807" s="131"/>
      <c r="M807" s="131"/>
      <c r="N807" s="131"/>
      <c r="O807" s="132"/>
      <c r="P807" s="155" t="s">
        <v>547</v>
      </c>
    </row>
    <row r="808" spans="1:16" ht="15" x14ac:dyDescent="0.35">
      <c r="A808" t="s">
        <v>543</v>
      </c>
      <c r="B808" t="str">
        <f t="shared" si="107"/>
        <v>iBoxx MSCI GBP Corporates Paris Aligned Capped TCA Index (12/31/2020-02/28/2023 -- pre-trajectory rebase)84</v>
      </c>
      <c r="C808" t="s">
        <v>552</v>
      </c>
      <c r="D808" t="s">
        <v>545</v>
      </c>
      <c r="E808" t="s">
        <v>546</v>
      </c>
      <c r="F808">
        <v>84</v>
      </c>
      <c r="G808" t="s">
        <v>535</v>
      </c>
      <c r="H808" s="26">
        <v>46752</v>
      </c>
      <c r="I808" s="131"/>
      <c r="J808" s="131"/>
      <c r="K808" s="131"/>
      <c r="L808" s="131"/>
      <c r="M808" s="131"/>
      <c r="N808" s="131"/>
      <c r="O808" s="132"/>
      <c r="P808" s="155" t="s">
        <v>547</v>
      </c>
    </row>
    <row r="809" spans="1:16" ht="15" x14ac:dyDescent="0.35">
      <c r="A809" t="s">
        <v>543</v>
      </c>
      <c r="B809" t="str">
        <f t="shared" si="107"/>
        <v>iBoxx MSCI GBP Corporates Paris Aligned Capped TCA Index (12/31/2020-02/28/2023 -- pre-trajectory rebase)85</v>
      </c>
      <c r="C809" t="s">
        <v>552</v>
      </c>
      <c r="D809" t="s">
        <v>545</v>
      </c>
      <c r="E809" t="s">
        <v>546</v>
      </c>
      <c r="F809">
        <v>85</v>
      </c>
      <c r="G809" t="s">
        <v>535</v>
      </c>
      <c r="H809" s="26">
        <v>46783</v>
      </c>
      <c r="I809" s="131"/>
      <c r="J809" s="131"/>
      <c r="K809" s="131"/>
      <c r="L809" s="131"/>
      <c r="M809" s="131"/>
      <c r="N809" s="131"/>
      <c r="O809" s="132"/>
      <c r="P809" s="155" t="s">
        <v>547</v>
      </c>
    </row>
    <row r="810" spans="1:16" ht="15" x14ac:dyDescent="0.35">
      <c r="A810" t="s">
        <v>543</v>
      </c>
      <c r="B810" t="str">
        <f t="shared" si="107"/>
        <v>iBoxx MSCI GBP Corporates Paris Aligned Capped TCA Index (12/31/2020-02/28/2023 -- pre-trajectory rebase)86</v>
      </c>
      <c r="C810" t="s">
        <v>552</v>
      </c>
      <c r="D810" t="s">
        <v>545</v>
      </c>
      <c r="E810" t="s">
        <v>546</v>
      </c>
      <c r="F810">
        <v>86</v>
      </c>
      <c r="G810" t="s">
        <v>535</v>
      </c>
      <c r="H810" s="26">
        <v>46811</v>
      </c>
      <c r="I810" s="131"/>
      <c r="J810" s="131"/>
      <c r="K810" s="131"/>
      <c r="L810" s="131"/>
      <c r="M810" s="131"/>
      <c r="N810" s="131"/>
      <c r="O810" s="132"/>
      <c r="P810" s="155" t="s">
        <v>547</v>
      </c>
    </row>
    <row r="811" spans="1:16" ht="15" x14ac:dyDescent="0.35">
      <c r="A811" t="s">
        <v>543</v>
      </c>
      <c r="B811" t="str">
        <f t="shared" si="107"/>
        <v>iBoxx MSCI GBP Corporates Paris Aligned Capped TCA Index (12/31/2020-02/28/2023 -- pre-trajectory rebase)87</v>
      </c>
      <c r="C811" t="s">
        <v>552</v>
      </c>
      <c r="D811" t="s">
        <v>545</v>
      </c>
      <c r="E811" t="s">
        <v>546</v>
      </c>
      <c r="F811">
        <v>87</v>
      </c>
      <c r="G811" t="s">
        <v>535</v>
      </c>
      <c r="H811" s="26">
        <v>46843</v>
      </c>
      <c r="I811" s="131"/>
      <c r="J811" s="131"/>
      <c r="K811" s="131"/>
      <c r="L811" s="131"/>
      <c r="M811" s="131"/>
      <c r="N811" s="131"/>
      <c r="O811" s="132"/>
      <c r="P811" s="155" t="s">
        <v>547</v>
      </c>
    </row>
    <row r="812" spans="1:16" ht="15" x14ac:dyDescent="0.35">
      <c r="A812" t="s">
        <v>543</v>
      </c>
      <c r="B812" t="str">
        <f t="shared" si="107"/>
        <v>iBoxx MSCI GBP Corporates Paris Aligned Capped TCA Index (12/31/2020-02/28/2023 -- pre-trajectory rebase)88</v>
      </c>
      <c r="C812" t="s">
        <v>552</v>
      </c>
      <c r="D812" t="s">
        <v>545</v>
      </c>
      <c r="E812" t="s">
        <v>546</v>
      </c>
      <c r="F812">
        <v>88</v>
      </c>
      <c r="G812" t="s">
        <v>535</v>
      </c>
      <c r="H812" s="26">
        <v>46873</v>
      </c>
      <c r="I812" s="131"/>
      <c r="J812" s="131"/>
      <c r="K812" s="131"/>
      <c r="L812" s="131"/>
      <c r="M812" s="131"/>
      <c r="N812" s="131"/>
      <c r="O812" s="132"/>
      <c r="P812" s="155" t="s">
        <v>547</v>
      </c>
    </row>
    <row r="813" spans="1:16" ht="15" x14ac:dyDescent="0.35">
      <c r="A813" t="s">
        <v>543</v>
      </c>
      <c r="B813" t="str">
        <f t="shared" si="107"/>
        <v>iBoxx MSCI GBP Corporates Paris Aligned Capped TCA Index (12/31/2020-02/28/2023 -- pre-trajectory rebase)89</v>
      </c>
      <c r="C813" t="s">
        <v>552</v>
      </c>
      <c r="D813" t="s">
        <v>545</v>
      </c>
      <c r="E813" t="s">
        <v>546</v>
      </c>
      <c r="F813">
        <v>89</v>
      </c>
      <c r="G813" t="s">
        <v>535</v>
      </c>
      <c r="H813" s="26">
        <v>46904</v>
      </c>
      <c r="I813" s="131"/>
      <c r="J813" s="131"/>
      <c r="K813" s="131"/>
      <c r="L813" s="131"/>
      <c r="M813" s="131"/>
      <c r="N813" s="131"/>
      <c r="O813" s="132"/>
      <c r="P813" s="155" t="s">
        <v>547</v>
      </c>
    </row>
    <row r="814" spans="1:16" ht="15" x14ac:dyDescent="0.35">
      <c r="A814" t="s">
        <v>543</v>
      </c>
      <c r="B814" t="str">
        <f t="shared" si="107"/>
        <v>iBoxx MSCI GBP Corporates Paris Aligned Capped TCA Index (12/31/2020-02/28/2023 -- pre-trajectory rebase)90</v>
      </c>
      <c r="C814" t="s">
        <v>552</v>
      </c>
      <c r="D814" t="s">
        <v>545</v>
      </c>
      <c r="E814" t="s">
        <v>546</v>
      </c>
      <c r="F814">
        <v>90</v>
      </c>
      <c r="G814" t="s">
        <v>535</v>
      </c>
      <c r="H814" s="26">
        <v>46934</v>
      </c>
      <c r="I814" s="131"/>
      <c r="J814" s="131"/>
      <c r="K814" s="131"/>
      <c r="L814" s="131"/>
      <c r="M814" s="131"/>
      <c r="N814" s="131"/>
      <c r="O814" s="132"/>
      <c r="P814" s="155" t="s">
        <v>547</v>
      </c>
    </row>
    <row r="815" spans="1:16" ht="15" x14ac:dyDescent="0.35">
      <c r="A815" t="s">
        <v>543</v>
      </c>
      <c r="B815" t="str">
        <f t="shared" si="107"/>
        <v>iBoxx MSCI GBP Corporates Paris Aligned Capped TCA Index (12/31/2020-02/28/2023 -- pre-trajectory rebase)91</v>
      </c>
      <c r="C815" t="s">
        <v>552</v>
      </c>
      <c r="D815" t="s">
        <v>545</v>
      </c>
      <c r="E815" t="s">
        <v>546</v>
      </c>
      <c r="F815">
        <v>91</v>
      </c>
      <c r="G815" t="s">
        <v>535</v>
      </c>
      <c r="H815" s="26">
        <v>46965</v>
      </c>
      <c r="I815" s="131"/>
      <c r="J815" s="131"/>
      <c r="K815" s="131"/>
      <c r="L815" s="131"/>
      <c r="M815" s="131"/>
      <c r="N815" s="131"/>
      <c r="O815" s="132"/>
      <c r="P815" s="155" t="s">
        <v>547</v>
      </c>
    </row>
    <row r="816" spans="1:16" ht="15" x14ac:dyDescent="0.35">
      <c r="A816" t="s">
        <v>543</v>
      </c>
      <c r="B816" t="str">
        <f t="shared" si="107"/>
        <v>iBoxx MSCI GBP Corporates Paris Aligned Capped TCA Index (12/31/2020-02/28/2023 -- pre-trajectory rebase)92</v>
      </c>
      <c r="C816" t="s">
        <v>552</v>
      </c>
      <c r="D816" t="s">
        <v>545</v>
      </c>
      <c r="E816" t="s">
        <v>546</v>
      </c>
      <c r="F816">
        <v>92</v>
      </c>
      <c r="G816" t="s">
        <v>535</v>
      </c>
      <c r="H816" s="26">
        <v>46996</v>
      </c>
      <c r="I816" s="131"/>
      <c r="J816" s="131"/>
      <c r="K816" s="131"/>
      <c r="L816" s="131"/>
      <c r="M816" s="131"/>
      <c r="N816" s="131"/>
      <c r="O816" s="132"/>
      <c r="P816" s="155" t="s">
        <v>547</v>
      </c>
    </row>
    <row r="817" spans="1:16" ht="15" x14ac:dyDescent="0.35">
      <c r="A817" t="s">
        <v>543</v>
      </c>
      <c r="B817" t="str">
        <f t="shared" si="107"/>
        <v>iBoxx MSCI GBP Corporates Paris Aligned Capped TCA Index (12/31/2020-02/28/2023 -- pre-trajectory rebase)93</v>
      </c>
      <c r="C817" t="s">
        <v>552</v>
      </c>
      <c r="D817" t="s">
        <v>545</v>
      </c>
      <c r="E817" t="s">
        <v>546</v>
      </c>
      <c r="F817">
        <v>93</v>
      </c>
      <c r="G817" t="s">
        <v>535</v>
      </c>
      <c r="H817" s="26">
        <v>47026</v>
      </c>
      <c r="I817" s="131"/>
      <c r="J817" s="131"/>
      <c r="K817" s="131"/>
      <c r="L817" s="131"/>
      <c r="M817" s="131"/>
      <c r="N817" s="131"/>
      <c r="O817" s="132"/>
      <c r="P817" s="155" t="s">
        <v>547</v>
      </c>
    </row>
    <row r="818" spans="1:16" ht="15" x14ac:dyDescent="0.35">
      <c r="A818" t="s">
        <v>543</v>
      </c>
      <c r="B818" t="str">
        <f t="shared" si="107"/>
        <v>iBoxx MSCI GBP Corporates Paris Aligned Capped TCA Index (12/31/2020-02/28/2023 -- pre-trajectory rebase)94</v>
      </c>
      <c r="C818" t="s">
        <v>552</v>
      </c>
      <c r="D818" t="s">
        <v>545</v>
      </c>
      <c r="E818" t="s">
        <v>546</v>
      </c>
      <c r="F818">
        <v>94</v>
      </c>
      <c r="G818" t="s">
        <v>535</v>
      </c>
      <c r="H818" s="26">
        <v>47057</v>
      </c>
      <c r="I818" s="131"/>
      <c r="J818" s="131"/>
      <c r="K818" s="131"/>
      <c r="L818" s="131"/>
      <c r="M818" s="131"/>
      <c r="N818" s="131"/>
      <c r="O818" s="132"/>
      <c r="P818" s="155" t="s">
        <v>547</v>
      </c>
    </row>
    <row r="819" spans="1:16" ht="15" x14ac:dyDescent="0.35">
      <c r="A819" t="s">
        <v>543</v>
      </c>
      <c r="B819" t="str">
        <f t="shared" si="107"/>
        <v>iBoxx MSCI GBP Corporates Paris Aligned Capped TCA Index (12/31/2020-02/28/2023 -- pre-trajectory rebase)95</v>
      </c>
      <c r="C819" t="s">
        <v>552</v>
      </c>
      <c r="D819" t="s">
        <v>545</v>
      </c>
      <c r="E819" t="s">
        <v>546</v>
      </c>
      <c r="F819">
        <v>95</v>
      </c>
      <c r="G819" t="s">
        <v>535</v>
      </c>
      <c r="H819" s="26">
        <v>47087</v>
      </c>
      <c r="I819" s="131"/>
      <c r="J819" s="131"/>
      <c r="K819" s="131"/>
      <c r="L819" s="131"/>
      <c r="M819" s="131"/>
      <c r="N819" s="131"/>
      <c r="O819" s="132"/>
      <c r="P819" s="155" t="s">
        <v>547</v>
      </c>
    </row>
    <row r="820" spans="1:16" ht="15" x14ac:dyDescent="0.35">
      <c r="A820" t="s">
        <v>543</v>
      </c>
      <c r="B820" t="str">
        <f t="shared" si="107"/>
        <v>iBoxx MSCI GBP Corporates Paris Aligned Capped TCA Index (12/31/2020-02/28/2023 -- pre-trajectory rebase)96</v>
      </c>
      <c r="C820" t="s">
        <v>552</v>
      </c>
      <c r="D820" t="s">
        <v>545</v>
      </c>
      <c r="E820" t="s">
        <v>546</v>
      </c>
      <c r="F820">
        <v>96</v>
      </c>
      <c r="G820" t="s">
        <v>535</v>
      </c>
      <c r="H820" s="26">
        <v>47118</v>
      </c>
      <c r="I820" s="131"/>
      <c r="J820" s="131"/>
      <c r="K820" s="131"/>
      <c r="L820" s="131"/>
      <c r="M820" s="131"/>
      <c r="N820" s="131"/>
      <c r="O820" s="132"/>
      <c r="P820" s="155" t="s">
        <v>547</v>
      </c>
    </row>
    <row r="821" spans="1:16" ht="15" x14ac:dyDescent="0.35">
      <c r="A821" t="s">
        <v>543</v>
      </c>
      <c r="B821" t="str">
        <f t="shared" si="107"/>
        <v>iBoxx MSCI GBP Corporates Paris Aligned Capped TCA Index (12/31/2020-02/28/2023 -- pre-trajectory rebase)97</v>
      </c>
      <c r="C821" t="s">
        <v>552</v>
      </c>
      <c r="D821" t="s">
        <v>545</v>
      </c>
      <c r="E821" t="s">
        <v>546</v>
      </c>
      <c r="F821">
        <v>97</v>
      </c>
      <c r="G821" t="s">
        <v>535</v>
      </c>
      <c r="H821" s="26">
        <v>47149</v>
      </c>
      <c r="I821" s="131"/>
      <c r="J821" s="131"/>
      <c r="K821" s="131"/>
      <c r="L821" s="131"/>
      <c r="M821" s="131"/>
      <c r="N821" s="131"/>
      <c r="O821" s="132"/>
      <c r="P821" s="155" t="s">
        <v>547</v>
      </c>
    </row>
    <row r="822" spans="1:16" ht="15" x14ac:dyDescent="0.35">
      <c r="A822" t="s">
        <v>543</v>
      </c>
      <c r="B822" t="str">
        <f t="shared" si="107"/>
        <v>iBoxx MSCI GBP Corporates Paris Aligned Capped TCA Index (12/31/2020-02/28/2023 -- pre-trajectory rebase)98</v>
      </c>
      <c r="C822" t="s">
        <v>552</v>
      </c>
      <c r="D822" t="s">
        <v>545</v>
      </c>
      <c r="E822" t="s">
        <v>546</v>
      </c>
      <c r="F822">
        <v>98</v>
      </c>
      <c r="G822" t="s">
        <v>535</v>
      </c>
      <c r="H822" s="26">
        <v>47177</v>
      </c>
      <c r="I822" s="131"/>
      <c r="J822" s="131"/>
      <c r="K822" s="131"/>
      <c r="L822" s="131"/>
      <c r="M822" s="131"/>
      <c r="N822" s="131"/>
      <c r="O822" s="132"/>
      <c r="P822" s="155" t="s">
        <v>547</v>
      </c>
    </row>
    <row r="823" spans="1:16" ht="15" x14ac:dyDescent="0.35">
      <c r="A823" t="s">
        <v>543</v>
      </c>
      <c r="B823" t="str">
        <f t="shared" si="107"/>
        <v>iBoxx MSCI GBP Corporates Paris Aligned Capped TCA Index (12/31/2020-02/28/2023 -- pre-trajectory rebase)99</v>
      </c>
      <c r="C823" t="s">
        <v>552</v>
      </c>
      <c r="D823" t="s">
        <v>545</v>
      </c>
      <c r="E823" t="s">
        <v>546</v>
      </c>
      <c r="F823">
        <v>99</v>
      </c>
      <c r="G823" t="s">
        <v>535</v>
      </c>
      <c r="H823" s="26">
        <v>47208</v>
      </c>
      <c r="I823" s="131"/>
      <c r="J823" s="131"/>
      <c r="K823" s="131"/>
      <c r="L823" s="131"/>
      <c r="M823" s="131"/>
      <c r="N823" s="131"/>
      <c r="O823" s="132"/>
      <c r="P823" s="155" t="s">
        <v>547</v>
      </c>
    </row>
    <row r="824" spans="1:16" ht="15" x14ac:dyDescent="0.35">
      <c r="A824" t="s">
        <v>543</v>
      </c>
      <c r="B824" t="str">
        <f t="shared" si="107"/>
        <v>iBoxx MSCI GBP Corporates Paris Aligned Capped TCA Index (12/31/2020-02/28/2023 -- pre-trajectory rebase)100</v>
      </c>
      <c r="C824" t="s">
        <v>552</v>
      </c>
      <c r="D824" t="s">
        <v>545</v>
      </c>
      <c r="E824" t="s">
        <v>546</v>
      </c>
      <c r="F824">
        <v>100</v>
      </c>
      <c r="G824" t="s">
        <v>535</v>
      </c>
      <c r="H824" s="26">
        <v>47238</v>
      </c>
      <c r="I824" s="131"/>
      <c r="J824" s="131"/>
      <c r="K824" s="131"/>
      <c r="L824" s="131"/>
      <c r="M824" s="131"/>
      <c r="N824" s="131"/>
      <c r="O824" s="132"/>
      <c r="P824" s="155" t="s">
        <v>547</v>
      </c>
    </row>
    <row r="825" spans="1:16" ht="15" x14ac:dyDescent="0.35">
      <c r="A825" t="s">
        <v>543</v>
      </c>
      <c r="B825" t="str">
        <f t="shared" si="107"/>
        <v>iBoxx MSCI GBP Corporates Paris Aligned Capped TCA Index (12/31/2020-02/28/2023 -- pre-trajectory rebase)101</v>
      </c>
      <c r="C825" t="s">
        <v>552</v>
      </c>
      <c r="D825" t="s">
        <v>545</v>
      </c>
      <c r="E825" t="s">
        <v>546</v>
      </c>
      <c r="F825">
        <v>101</v>
      </c>
      <c r="G825" t="s">
        <v>535</v>
      </c>
      <c r="H825" s="26">
        <v>47269</v>
      </c>
      <c r="I825" s="131"/>
      <c r="J825" s="131"/>
      <c r="K825" s="131"/>
      <c r="L825" s="131"/>
      <c r="M825" s="131"/>
      <c r="N825" s="131"/>
      <c r="O825" s="132"/>
      <c r="P825" s="155" t="s">
        <v>547</v>
      </c>
    </row>
    <row r="826" spans="1:16" ht="15" x14ac:dyDescent="0.35">
      <c r="A826" t="s">
        <v>543</v>
      </c>
      <c r="B826" t="str">
        <f t="shared" si="107"/>
        <v>iBoxx MSCI GBP Corporates Paris Aligned Capped TCA Index (12/31/2020-02/28/2023 -- pre-trajectory rebase)102</v>
      </c>
      <c r="C826" t="s">
        <v>552</v>
      </c>
      <c r="D826" t="s">
        <v>545</v>
      </c>
      <c r="E826" t="s">
        <v>546</v>
      </c>
      <c r="F826">
        <v>102</v>
      </c>
      <c r="G826" t="s">
        <v>535</v>
      </c>
      <c r="H826" s="26">
        <v>47299</v>
      </c>
      <c r="I826" s="131"/>
      <c r="J826" s="131"/>
      <c r="K826" s="131"/>
      <c r="L826" s="131"/>
      <c r="M826" s="131"/>
      <c r="N826" s="131"/>
      <c r="O826" s="132"/>
      <c r="P826" s="155" t="s">
        <v>547</v>
      </c>
    </row>
    <row r="827" spans="1:16" ht="15" x14ac:dyDescent="0.35">
      <c r="A827" t="s">
        <v>543</v>
      </c>
      <c r="B827" t="str">
        <f t="shared" si="107"/>
        <v>iBoxx MSCI GBP Corporates Paris Aligned Capped TCA Index (12/31/2020-02/28/2023 -- pre-trajectory rebase)103</v>
      </c>
      <c r="C827" t="s">
        <v>552</v>
      </c>
      <c r="D827" t="s">
        <v>545</v>
      </c>
      <c r="E827" t="s">
        <v>546</v>
      </c>
      <c r="F827">
        <v>103</v>
      </c>
      <c r="G827" t="s">
        <v>535</v>
      </c>
      <c r="H827" s="26">
        <v>47330</v>
      </c>
      <c r="I827" s="131"/>
      <c r="J827" s="131"/>
      <c r="K827" s="131"/>
      <c r="L827" s="131"/>
      <c r="M827" s="131"/>
      <c r="N827" s="131"/>
      <c r="O827" s="132"/>
      <c r="P827" s="155" t="s">
        <v>547</v>
      </c>
    </row>
    <row r="828" spans="1:16" ht="15" x14ac:dyDescent="0.35">
      <c r="A828" t="s">
        <v>543</v>
      </c>
      <c r="B828" t="str">
        <f t="shared" si="107"/>
        <v>iBoxx MSCI GBP Corporates Paris Aligned Capped TCA Index (12/31/2020-02/28/2023 -- pre-trajectory rebase)104</v>
      </c>
      <c r="C828" t="s">
        <v>552</v>
      </c>
      <c r="D828" t="s">
        <v>545</v>
      </c>
      <c r="E828" t="s">
        <v>546</v>
      </c>
      <c r="F828">
        <v>104</v>
      </c>
      <c r="G828" t="s">
        <v>535</v>
      </c>
      <c r="H828" s="26">
        <v>47361</v>
      </c>
      <c r="I828" s="131"/>
      <c r="J828" s="131"/>
      <c r="K828" s="131"/>
      <c r="L828" s="131"/>
      <c r="M828" s="131"/>
      <c r="N828" s="131"/>
      <c r="O828" s="132"/>
      <c r="P828" s="155" t="s">
        <v>547</v>
      </c>
    </row>
    <row r="829" spans="1:16" ht="15" x14ac:dyDescent="0.35">
      <c r="A829" t="s">
        <v>543</v>
      </c>
      <c r="B829" t="str">
        <f t="shared" si="107"/>
        <v>iBoxx MSCI GBP Corporates Paris Aligned Capped TCA Index (12/31/2020-02/28/2023 -- pre-trajectory rebase)105</v>
      </c>
      <c r="C829" t="s">
        <v>552</v>
      </c>
      <c r="D829" t="s">
        <v>545</v>
      </c>
      <c r="E829" t="s">
        <v>546</v>
      </c>
      <c r="F829">
        <v>105</v>
      </c>
      <c r="G829" t="s">
        <v>535</v>
      </c>
      <c r="H829" s="26">
        <v>47391</v>
      </c>
      <c r="I829" s="131"/>
      <c r="J829" s="131"/>
      <c r="K829" s="131"/>
      <c r="L829" s="131"/>
      <c r="M829" s="131"/>
      <c r="N829" s="131"/>
      <c r="O829" s="132"/>
      <c r="P829" s="155" t="s">
        <v>547</v>
      </c>
    </row>
    <row r="830" spans="1:16" ht="15" x14ac:dyDescent="0.35">
      <c r="A830" t="s">
        <v>543</v>
      </c>
      <c r="B830" t="str">
        <f t="shared" si="107"/>
        <v>iBoxx MSCI GBP Corporates Paris Aligned Capped TCA Index (12/31/2020-02/28/2023 -- pre-trajectory rebase)106</v>
      </c>
      <c r="C830" t="s">
        <v>552</v>
      </c>
      <c r="D830" t="s">
        <v>545</v>
      </c>
      <c r="E830" t="s">
        <v>546</v>
      </c>
      <c r="F830">
        <v>106</v>
      </c>
      <c r="G830" t="s">
        <v>535</v>
      </c>
      <c r="H830" s="26">
        <v>47422</v>
      </c>
      <c r="I830" s="131"/>
      <c r="J830" s="131"/>
      <c r="K830" s="131"/>
      <c r="L830" s="131"/>
      <c r="M830" s="131"/>
      <c r="N830" s="131"/>
      <c r="O830" s="132"/>
      <c r="P830" s="155" t="s">
        <v>547</v>
      </c>
    </row>
    <row r="831" spans="1:16" ht="15" x14ac:dyDescent="0.35">
      <c r="A831" t="s">
        <v>543</v>
      </c>
      <c r="B831" t="str">
        <f t="shared" si="107"/>
        <v>iBoxx MSCI GBP Corporates Paris Aligned Capped TCA Index (12/31/2020-02/28/2023 -- pre-trajectory rebase)107</v>
      </c>
      <c r="C831" t="s">
        <v>552</v>
      </c>
      <c r="D831" t="s">
        <v>545</v>
      </c>
      <c r="E831" t="s">
        <v>546</v>
      </c>
      <c r="F831">
        <v>107</v>
      </c>
      <c r="G831" t="s">
        <v>535</v>
      </c>
      <c r="H831" s="26">
        <v>47452</v>
      </c>
      <c r="I831" s="131"/>
      <c r="J831" s="131"/>
      <c r="K831" s="131"/>
      <c r="L831" s="131"/>
      <c r="M831" s="131"/>
      <c r="N831" s="131"/>
      <c r="O831" s="132"/>
      <c r="P831" s="155" t="s">
        <v>547</v>
      </c>
    </row>
    <row r="832" spans="1:16" ht="15" x14ac:dyDescent="0.35">
      <c r="A832" t="s">
        <v>543</v>
      </c>
      <c r="B832" t="str">
        <f t="shared" si="107"/>
        <v>iBoxx MSCI GBP Corporates Paris Aligned Capped TCA Index (12/31/2020-02/28/2023 -- pre-trajectory rebase)108</v>
      </c>
      <c r="C832" t="s">
        <v>552</v>
      </c>
      <c r="D832" t="s">
        <v>545</v>
      </c>
      <c r="E832" t="s">
        <v>546</v>
      </c>
      <c r="F832">
        <v>108</v>
      </c>
      <c r="G832" t="s">
        <v>535</v>
      </c>
      <c r="H832" s="26">
        <v>47483</v>
      </c>
      <c r="I832" s="131"/>
      <c r="J832" s="131"/>
      <c r="K832" s="131"/>
      <c r="L832" s="131"/>
      <c r="M832" s="131"/>
      <c r="N832" s="131"/>
      <c r="O832" s="132"/>
      <c r="P832" s="155" t="s">
        <v>547</v>
      </c>
    </row>
    <row r="833" spans="1:16" ht="15" x14ac:dyDescent="0.35">
      <c r="A833" t="s">
        <v>543</v>
      </c>
      <c r="B833" t="str">
        <f t="shared" si="107"/>
        <v>iBoxx MSCI GBP Corporates Paris Aligned Capped TCA Index (12/31/2020-02/28/2023 -- pre-trajectory rebase)109</v>
      </c>
      <c r="C833" t="s">
        <v>552</v>
      </c>
      <c r="D833" t="s">
        <v>545</v>
      </c>
      <c r="E833" t="s">
        <v>546</v>
      </c>
      <c r="F833">
        <v>109</v>
      </c>
      <c r="G833" t="s">
        <v>535</v>
      </c>
      <c r="H833" s="26">
        <v>47514</v>
      </c>
      <c r="I833" s="131"/>
      <c r="J833" s="131"/>
      <c r="K833" s="131"/>
      <c r="L833" s="131"/>
      <c r="M833" s="131"/>
      <c r="N833" s="131"/>
      <c r="O833" s="132"/>
      <c r="P833" s="155" t="s">
        <v>547</v>
      </c>
    </row>
    <row r="834" spans="1:16" ht="15" x14ac:dyDescent="0.35">
      <c r="A834" t="s">
        <v>543</v>
      </c>
      <c r="B834" t="str">
        <f t="shared" si="107"/>
        <v>iBoxx MSCI GBP Corporates Paris Aligned Capped TCA Index (12/31/2020-02/28/2023 -- pre-trajectory rebase)110</v>
      </c>
      <c r="C834" t="s">
        <v>552</v>
      </c>
      <c r="D834" t="s">
        <v>545</v>
      </c>
      <c r="E834" t="s">
        <v>546</v>
      </c>
      <c r="F834">
        <v>110</v>
      </c>
      <c r="G834" t="s">
        <v>535</v>
      </c>
      <c r="H834" s="26">
        <v>47542</v>
      </c>
      <c r="I834" s="131"/>
      <c r="J834" s="131"/>
      <c r="K834" s="131"/>
      <c r="L834" s="131"/>
      <c r="M834" s="131"/>
      <c r="N834" s="131"/>
      <c r="O834" s="132"/>
      <c r="P834" s="155" t="s">
        <v>547</v>
      </c>
    </row>
    <row r="835" spans="1:16" ht="15" x14ac:dyDescent="0.35">
      <c r="A835" t="s">
        <v>543</v>
      </c>
      <c r="B835" t="str">
        <f t="shared" si="107"/>
        <v>iBoxx MSCI GBP Corporates Paris Aligned Capped TCA Index (12/31/2020-02/28/2023 -- pre-trajectory rebase)111</v>
      </c>
      <c r="C835" t="s">
        <v>552</v>
      </c>
      <c r="D835" t="s">
        <v>545</v>
      </c>
      <c r="E835" t="s">
        <v>546</v>
      </c>
      <c r="F835">
        <v>111</v>
      </c>
      <c r="G835" t="s">
        <v>535</v>
      </c>
      <c r="H835" s="26">
        <v>47573</v>
      </c>
      <c r="I835" s="131"/>
      <c r="J835" s="131"/>
      <c r="K835" s="131"/>
      <c r="L835" s="131"/>
      <c r="M835" s="131"/>
      <c r="N835" s="131"/>
      <c r="O835" s="132"/>
      <c r="P835" s="155" t="s">
        <v>547</v>
      </c>
    </row>
    <row r="836" spans="1:16" ht="15" x14ac:dyDescent="0.35">
      <c r="A836" t="s">
        <v>543</v>
      </c>
      <c r="B836" t="str">
        <f t="shared" si="107"/>
        <v>iBoxx MSCI GBP Corporates Paris Aligned Capped TCA Index (12/31/2020-02/28/2023 -- pre-trajectory rebase)112</v>
      </c>
      <c r="C836" t="s">
        <v>552</v>
      </c>
      <c r="D836" t="s">
        <v>545</v>
      </c>
      <c r="E836" t="s">
        <v>546</v>
      </c>
      <c r="F836">
        <v>112</v>
      </c>
      <c r="G836" t="s">
        <v>535</v>
      </c>
      <c r="H836" s="26">
        <v>47603</v>
      </c>
      <c r="I836" s="131"/>
      <c r="J836" s="131"/>
      <c r="K836" s="131"/>
      <c r="L836" s="131"/>
      <c r="M836" s="131"/>
      <c r="N836" s="131"/>
      <c r="O836" s="132"/>
      <c r="P836" s="155" t="s">
        <v>547</v>
      </c>
    </row>
    <row r="837" spans="1:16" ht="15" x14ac:dyDescent="0.35">
      <c r="A837" t="s">
        <v>543</v>
      </c>
      <c r="B837" t="str">
        <f t="shared" si="107"/>
        <v>iBoxx MSCI GBP Corporates Paris Aligned Capped TCA Index (12/31/2020-02/28/2023 -- pre-trajectory rebase)113</v>
      </c>
      <c r="C837" t="s">
        <v>552</v>
      </c>
      <c r="D837" t="s">
        <v>545</v>
      </c>
      <c r="E837" t="s">
        <v>546</v>
      </c>
      <c r="F837">
        <v>113</v>
      </c>
      <c r="G837" t="s">
        <v>535</v>
      </c>
      <c r="H837" s="26">
        <v>47634</v>
      </c>
      <c r="I837" s="131"/>
      <c r="J837" s="131"/>
      <c r="K837" s="131"/>
      <c r="L837" s="131"/>
      <c r="M837" s="131"/>
      <c r="N837" s="131"/>
      <c r="O837" s="132"/>
      <c r="P837" s="155" t="s">
        <v>547</v>
      </c>
    </row>
    <row r="838" spans="1:16" ht="15" x14ac:dyDescent="0.35">
      <c r="A838" t="s">
        <v>543</v>
      </c>
      <c r="B838" t="str">
        <f t="shared" si="107"/>
        <v>iBoxx MSCI GBP Corporates Paris Aligned Capped TCA Index (12/31/2020-02/28/2023 -- pre-trajectory rebase)114</v>
      </c>
      <c r="C838" t="s">
        <v>552</v>
      </c>
      <c r="D838" t="s">
        <v>545</v>
      </c>
      <c r="E838" t="s">
        <v>546</v>
      </c>
      <c r="F838">
        <v>114</v>
      </c>
      <c r="G838" t="s">
        <v>535</v>
      </c>
      <c r="H838" s="26">
        <v>47664</v>
      </c>
      <c r="I838" s="131"/>
      <c r="J838" s="131"/>
      <c r="K838" s="131"/>
      <c r="L838" s="131"/>
      <c r="M838" s="131"/>
      <c r="N838" s="131"/>
      <c r="O838" s="132"/>
      <c r="P838" s="155" t="s">
        <v>547</v>
      </c>
    </row>
    <row r="839" spans="1:16" ht="15" x14ac:dyDescent="0.35">
      <c r="A839" t="s">
        <v>543</v>
      </c>
      <c r="B839" t="str">
        <f t="shared" si="107"/>
        <v>iBoxx MSCI GBP Corporates Paris Aligned Capped TCA Index (12/31/2020-02/28/2023 -- pre-trajectory rebase)115</v>
      </c>
      <c r="C839" t="s">
        <v>552</v>
      </c>
      <c r="D839" t="s">
        <v>545</v>
      </c>
      <c r="E839" t="s">
        <v>546</v>
      </c>
      <c r="F839">
        <v>115</v>
      </c>
      <c r="G839" t="s">
        <v>535</v>
      </c>
      <c r="H839" s="26">
        <v>47695</v>
      </c>
      <c r="I839" s="131"/>
      <c r="J839" s="131"/>
      <c r="K839" s="131"/>
      <c r="L839" s="131"/>
      <c r="M839" s="131"/>
      <c r="N839" s="131"/>
      <c r="O839" s="132"/>
      <c r="P839" s="155" t="s">
        <v>547</v>
      </c>
    </row>
    <row r="840" spans="1:16" ht="15" x14ac:dyDescent="0.35">
      <c r="A840" t="s">
        <v>543</v>
      </c>
      <c r="B840" t="str">
        <f t="shared" si="107"/>
        <v>iBoxx MSCI GBP Corporates Paris Aligned Capped TCA Index (12/31/2020-02/28/2023 -- pre-trajectory rebase)116</v>
      </c>
      <c r="C840" t="s">
        <v>552</v>
      </c>
      <c r="D840" t="s">
        <v>545</v>
      </c>
      <c r="E840" t="s">
        <v>546</v>
      </c>
      <c r="F840">
        <v>116</v>
      </c>
      <c r="G840" t="s">
        <v>535</v>
      </c>
      <c r="H840" s="26">
        <v>47726</v>
      </c>
      <c r="I840" s="131"/>
      <c r="J840" s="131"/>
      <c r="K840" s="131"/>
      <c r="L840" s="131"/>
      <c r="M840" s="131"/>
      <c r="N840" s="131"/>
      <c r="O840" s="132"/>
      <c r="P840" s="155" t="s">
        <v>547</v>
      </c>
    </row>
    <row r="841" spans="1:16" ht="15" x14ac:dyDescent="0.35">
      <c r="A841" t="s">
        <v>543</v>
      </c>
      <c r="B841" t="str">
        <f t="shared" si="107"/>
        <v>iBoxx MSCI GBP Corporates Paris Aligned Capped TCA Index (12/31/2020-02/28/2023 -- pre-trajectory rebase)117</v>
      </c>
      <c r="C841" t="s">
        <v>552</v>
      </c>
      <c r="D841" t="s">
        <v>545</v>
      </c>
      <c r="E841" t="s">
        <v>546</v>
      </c>
      <c r="F841">
        <v>117</v>
      </c>
      <c r="G841" t="s">
        <v>535</v>
      </c>
      <c r="H841" s="26">
        <v>47756</v>
      </c>
      <c r="I841" s="131"/>
      <c r="J841" s="131"/>
      <c r="K841" s="131"/>
      <c r="L841" s="131"/>
      <c r="M841" s="131"/>
      <c r="N841" s="131"/>
      <c r="O841" s="132"/>
      <c r="P841" s="155" t="s">
        <v>547</v>
      </c>
    </row>
    <row r="842" spans="1:16" ht="15" x14ac:dyDescent="0.35">
      <c r="A842" t="s">
        <v>543</v>
      </c>
      <c r="B842" t="str">
        <f t="shared" si="107"/>
        <v>iBoxx MSCI GBP Corporates Paris Aligned Capped TCA Index (12/31/2020-02/28/2023 -- pre-trajectory rebase)118</v>
      </c>
      <c r="C842" t="s">
        <v>552</v>
      </c>
      <c r="D842" t="s">
        <v>545</v>
      </c>
      <c r="E842" t="s">
        <v>546</v>
      </c>
      <c r="F842">
        <v>118</v>
      </c>
      <c r="G842" t="s">
        <v>535</v>
      </c>
      <c r="H842" s="26">
        <v>47787</v>
      </c>
      <c r="I842" s="131"/>
      <c r="J842" s="131"/>
      <c r="K842" s="131"/>
      <c r="L842" s="131"/>
      <c r="M842" s="131"/>
      <c r="N842" s="131"/>
      <c r="O842" s="132"/>
      <c r="P842" s="155" t="s">
        <v>547</v>
      </c>
    </row>
    <row r="843" spans="1:16" ht="15" x14ac:dyDescent="0.35">
      <c r="A843" t="s">
        <v>543</v>
      </c>
      <c r="B843" t="str">
        <f t="shared" si="107"/>
        <v>iBoxx MSCI GBP Corporates Paris Aligned Capped TCA Index (12/31/2020-02/28/2023 -- pre-trajectory rebase)119</v>
      </c>
      <c r="C843" t="s">
        <v>552</v>
      </c>
      <c r="D843" t="s">
        <v>545</v>
      </c>
      <c r="E843" t="s">
        <v>546</v>
      </c>
      <c r="F843">
        <v>119</v>
      </c>
      <c r="G843" t="s">
        <v>535</v>
      </c>
      <c r="H843" s="26">
        <v>47817</v>
      </c>
      <c r="I843" s="131"/>
      <c r="J843" s="131"/>
      <c r="K843" s="131"/>
      <c r="L843" s="131"/>
      <c r="M843" s="131"/>
      <c r="N843" s="131"/>
      <c r="O843" s="132"/>
      <c r="P843" s="155" t="s">
        <v>547</v>
      </c>
    </row>
  </sheetData>
  <autoFilter ref="B3:AE843" xr:uid="{940BF902-235C-42AA-AEEB-DB49B6E1DFE6}"/>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D32A-5E4D-49AE-B48E-1149EC498014}">
  <sheetPr codeName="Sheet9">
    <tabColor rgb="FFFFFF00"/>
  </sheetPr>
  <dimension ref="A1:BX123"/>
  <sheetViews>
    <sheetView workbookViewId="0">
      <selection activeCell="M34" sqref="M34"/>
    </sheetView>
  </sheetViews>
  <sheetFormatPr defaultRowHeight="14.5" x14ac:dyDescent="0.35"/>
  <cols>
    <col min="1" max="1" width="2.90625" customWidth="1"/>
    <col min="2" max="3" width="15.36328125" hidden="1" customWidth="1"/>
    <col min="4" max="4" width="28.08984375" hidden="1" customWidth="1"/>
    <col min="5" max="5" width="21.08984375" hidden="1" customWidth="1"/>
    <col min="6" max="6" width="15.36328125" hidden="1" customWidth="1"/>
    <col min="7" max="7" width="44.08984375" hidden="1" customWidth="1"/>
    <col min="8" max="8" width="31.453125" hidden="1" customWidth="1"/>
    <col min="9" max="10" width="15.36328125" hidden="1" customWidth="1"/>
    <col min="11" max="12" width="0" hidden="1" customWidth="1"/>
    <col min="13" max="19" width="12.453125" customWidth="1"/>
    <col min="20" max="20" width="2.6328125" customWidth="1"/>
    <col min="21" max="27" width="12.453125" customWidth="1"/>
    <col min="28" max="28" width="3.6328125" customWidth="1"/>
    <col min="29" max="29" width="19.453125" bestFit="1" customWidth="1"/>
    <col min="30" max="30" width="18" customWidth="1"/>
    <col min="31" max="31" width="24.453125" customWidth="1"/>
    <col min="32" max="33" width="18" customWidth="1"/>
    <col min="38" max="38" width="15.08984375" customWidth="1"/>
    <col min="39" max="39" width="13.36328125" customWidth="1"/>
    <col min="41" max="41" width="92" bestFit="1" customWidth="1"/>
    <col min="43" max="43" width="13.08984375" bestFit="1" customWidth="1"/>
    <col min="44" max="44" width="8.90625" customWidth="1"/>
  </cols>
  <sheetData>
    <row r="1" spans="1:76" x14ac:dyDescent="0.35">
      <c r="C1" s="22"/>
      <c r="D1" s="22"/>
      <c r="E1" s="23"/>
      <c r="F1" s="23"/>
      <c r="G1" s="23"/>
      <c r="H1" s="23"/>
      <c r="I1" s="23"/>
      <c r="J1" s="23"/>
      <c r="K1" s="23"/>
      <c r="AR1" s="29"/>
      <c r="AS1" s="29"/>
      <c r="AT1" s="29"/>
      <c r="AU1" s="29"/>
      <c r="AV1" s="29"/>
      <c r="AW1" s="29"/>
      <c r="AX1" s="29"/>
      <c r="AY1" s="29"/>
      <c r="AZ1" s="29"/>
      <c r="BA1" s="29"/>
      <c r="BB1" s="29"/>
      <c r="BC1" s="29"/>
      <c r="BD1" s="29"/>
      <c r="BF1" s="29"/>
      <c r="BG1" s="29"/>
      <c r="BH1" s="29"/>
      <c r="BI1" s="29"/>
      <c r="BJ1" s="29"/>
      <c r="BK1" s="29"/>
      <c r="BL1" s="29"/>
      <c r="BM1" s="30"/>
      <c r="BN1" s="30" t="s">
        <v>553</v>
      </c>
      <c r="BO1" s="30" t="s">
        <v>553</v>
      </c>
      <c r="BQ1" s="29"/>
      <c r="BR1" s="29"/>
      <c r="BS1" s="29"/>
      <c r="BT1" s="29"/>
      <c r="BU1" s="29"/>
    </row>
    <row r="2" spans="1:76" ht="15.5" x14ac:dyDescent="0.35">
      <c r="G2" s="1" t="s">
        <v>554</v>
      </c>
      <c r="H2" s="1" t="s">
        <v>555</v>
      </c>
      <c r="M2" t="s">
        <v>556</v>
      </c>
      <c r="U2" s="25" t="s">
        <v>557</v>
      </c>
      <c r="AR2" s="235" t="s">
        <v>558</v>
      </c>
      <c r="AS2" s="235" t="s">
        <v>558</v>
      </c>
      <c r="AT2" s="235" t="s">
        <v>558</v>
      </c>
      <c r="AU2" s="235" t="s">
        <v>558</v>
      </c>
      <c r="AV2" s="234" t="s">
        <v>460</v>
      </c>
      <c r="AW2" s="235" t="s">
        <v>558</v>
      </c>
      <c r="AX2" s="234" t="s">
        <v>460</v>
      </c>
      <c r="AY2" s="234" t="s">
        <v>460</v>
      </c>
      <c r="AZ2" s="234" t="s">
        <v>460</v>
      </c>
      <c r="BA2" s="234" t="s">
        <v>460</v>
      </c>
      <c r="BB2" s="234" t="s">
        <v>460</v>
      </c>
      <c r="BC2" s="235" t="s">
        <v>558</v>
      </c>
      <c r="BD2" s="234" t="s">
        <v>460</v>
      </c>
      <c r="BF2" s="234" t="s">
        <v>460</v>
      </c>
      <c r="BG2" s="234" t="s">
        <v>460</v>
      </c>
      <c r="BH2" s="235" t="s">
        <v>558</v>
      </c>
      <c r="BI2" s="235" t="s">
        <v>558</v>
      </c>
      <c r="BJ2" s="234" t="s">
        <v>460</v>
      </c>
      <c r="BK2" s="234" t="s">
        <v>460</v>
      </c>
      <c r="BL2" s="234" t="s">
        <v>460</v>
      </c>
      <c r="BM2" s="234" t="s">
        <v>460</v>
      </c>
      <c r="BN2" s="234" t="s">
        <v>460</v>
      </c>
      <c r="BO2" s="234" t="s">
        <v>460</v>
      </c>
      <c r="BQ2" s="235" t="s">
        <v>558</v>
      </c>
      <c r="BR2" s="235" t="s">
        <v>558</v>
      </c>
      <c r="BS2" s="235" t="s">
        <v>558</v>
      </c>
      <c r="BT2" s="234" t="s">
        <v>460</v>
      </c>
      <c r="BU2" s="235" t="s">
        <v>558</v>
      </c>
      <c r="BV2" s="235" t="s">
        <v>558</v>
      </c>
      <c r="BW2" s="235" t="s">
        <v>558</v>
      </c>
      <c r="BX2" s="235" t="s">
        <v>558</v>
      </c>
    </row>
    <row r="3" spans="1:76" ht="161" x14ac:dyDescent="0.35">
      <c r="C3" s="19" t="s">
        <v>559</v>
      </c>
      <c r="D3" s="20" t="s">
        <v>560</v>
      </c>
      <c r="E3" s="19" t="s">
        <v>561</v>
      </c>
      <c r="F3" s="21" t="s">
        <v>562</v>
      </c>
      <c r="G3" s="20" t="s">
        <v>563</v>
      </c>
      <c r="H3" s="20" t="s">
        <v>564</v>
      </c>
      <c r="I3" s="21" t="s">
        <v>565</v>
      </c>
      <c r="J3" s="20" t="s">
        <v>566</v>
      </c>
      <c r="K3" s="21" t="s">
        <v>567</v>
      </c>
      <c r="M3" s="36" t="s">
        <v>559</v>
      </c>
      <c r="N3" s="37" t="s">
        <v>560</v>
      </c>
      <c r="O3" s="38" t="s">
        <v>568</v>
      </c>
      <c r="P3" s="37" t="s">
        <v>569</v>
      </c>
      <c r="Q3" s="37" t="s">
        <v>570</v>
      </c>
      <c r="R3" s="37" t="s">
        <v>566</v>
      </c>
      <c r="S3" s="38" t="str">
        <f>IF('II. EU CTB &amp; PAB Report'!B3="S&amp;P Dow Jones Indices Climate Transition Index Historical Rebalance Results","EU CTB Index Absolute Carbon Emissions (GtCO2e)",IF('II. EU CTB &amp; PAB Report'!B3="S&amp;P Dow Jones Indices Paris-Aligned Index Historical Rebalance Results","EU PAB Index Absolute Carbon Emissions (GtCO2e)","Index Absolute Carbon Emissions (GtCO2e)"))</f>
        <v>EU PAB Index Absolute Carbon Emissions (GtCO2e)</v>
      </c>
      <c r="U3" s="19" t="s">
        <v>559</v>
      </c>
      <c r="V3" s="20" t="s">
        <v>560</v>
      </c>
      <c r="W3" s="21" t="s">
        <v>571</v>
      </c>
      <c r="X3" s="21" t="str">
        <f>IF('II. EU CTB &amp; PAB Report'!B3="S&amp;P Dow Jones Indices Climate Transition Index Historical Rebalance Results","Climate Transition Index (EVIC Inflation-Adjusted WACI)",IF('II. EU CTB &amp; PAB Report'!B3="S&amp;P Dow Jones Indices Paris-Aligned Index Historical Rebalance Results","Paris-Aligned Index (EVIC Inflation-Adjusted WACI)","Paris-Aligned Index (EVIC Inflation-Adjusted WACI)"))</f>
        <v>Paris-Aligned Index (EVIC Inflation-Adjusted WACI)</v>
      </c>
      <c r="Y3" s="20" t="str">
        <f>IF('II. EU CTB &amp; PAB Report'!B3="S&amp;P Dow Jones Indices Climate Transition Index Historical Rebalance Results","Universe Index 
(-30% Universe Index Absolute Emissions)",IF('II. EU CTB &amp; PAB Report'!B3="S&amp;P Dow Jones Indices Paris-Aligned Index Historical Rebalance Results","Universe Index (-50% Universe Index Absolute Emissions)","Universe Index 
(-30%/-50% Universe Index Absolute Emissions)"))</f>
        <v>Universe Index (-50% Universe Index Absolute Emissions)</v>
      </c>
      <c r="Z3" s="20" t="s">
        <v>572</v>
      </c>
      <c r="AA3" s="20" t="str">
        <f>IF('II. EU CTB &amp; PAB Report'!B3="S&amp;P Dow Jones Indices Climate Transition Index Historical Rebalance Results","EU CTB Index Absolute Carbon Emissions (GtCO2e)",IF('II. EU CTB &amp; PAB Report'!B3="S&amp;P Dow Jones Indices Paris-Aligned Index Historical Rebalance Results","EU PAB Index Absolute Carbon Emissions (GtCO2e)","Index Absolute Carbon Emissions (GtCO2e)"))</f>
        <v>EU PAB Index Absolute Carbon Emissions (GtCO2e)</v>
      </c>
      <c r="AD3" t="s">
        <v>573</v>
      </c>
      <c r="AE3" t="s">
        <v>574</v>
      </c>
      <c r="AF3" t="s">
        <v>575</v>
      </c>
      <c r="AG3" t="s">
        <v>576</v>
      </c>
      <c r="AL3" s="41" t="s">
        <v>577</v>
      </c>
      <c r="AM3" s="39" t="s">
        <v>560</v>
      </c>
      <c r="AO3" t="s">
        <v>578</v>
      </c>
      <c r="AR3" s="239" t="s">
        <v>29</v>
      </c>
      <c r="AS3" s="240" t="s">
        <v>34</v>
      </c>
      <c r="AT3" s="245" t="s">
        <v>37</v>
      </c>
      <c r="AU3" s="246" t="s">
        <v>40</v>
      </c>
      <c r="AV3" s="240" t="s">
        <v>579</v>
      </c>
      <c r="AW3" s="240" t="s">
        <v>580</v>
      </c>
      <c r="AX3" s="241" t="s">
        <v>49</v>
      </c>
      <c r="AY3" s="241" t="s">
        <v>51</v>
      </c>
      <c r="AZ3" s="242" t="s">
        <v>581</v>
      </c>
      <c r="BA3" s="243" t="s">
        <v>582</v>
      </c>
      <c r="BB3" s="240" t="s">
        <v>583</v>
      </c>
      <c r="BC3" s="240" t="s">
        <v>584</v>
      </c>
      <c r="BD3" s="240" t="s">
        <v>49</v>
      </c>
      <c r="BE3" s="244"/>
      <c r="BF3" s="245" t="s">
        <v>585</v>
      </c>
      <c r="BG3" s="245" t="s">
        <v>586</v>
      </c>
      <c r="BH3" s="245" t="s">
        <v>587</v>
      </c>
      <c r="BI3" s="245" t="s">
        <v>588</v>
      </c>
      <c r="BJ3" s="245" t="s">
        <v>589</v>
      </c>
      <c r="BK3" s="245" t="s">
        <v>82</v>
      </c>
      <c r="BL3" s="245" t="s">
        <v>85</v>
      </c>
      <c r="BM3" s="245" t="s">
        <v>88</v>
      </c>
      <c r="BN3" s="245" t="s">
        <v>91</v>
      </c>
      <c r="BO3" s="245" t="s">
        <v>93</v>
      </c>
      <c r="BP3" s="244"/>
      <c r="BQ3" s="245" t="s">
        <v>587</v>
      </c>
      <c r="BR3" s="245" t="s">
        <v>588</v>
      </c>
      <c r="BS3" s="245" t="s">
        <v>101</v>
      </c>
      <c r="BT3" s="245" t="s">
        <v>103</v>
      </c>
      <c r="BU3" s="245" t="s">
        <v>106</v>
      </c>
      <c r="BV3" s="246" t="s">
        <v>110</v>
      </c>
      <c r="BW3" s="246" t="s">
        <v>112</v>
      </c>
      <c r="BX3" s="246" t="s">
        <v>114</v>
      </c>
    </row>
    <row r="4" spans="1:76" ht="15" customHeight="1" x14ac:dyDescent="0.35">
      <c r="A4">
        <v>0</v>
      </c>
      <c r="B4" s="24" t="s">
        <v>590</v>
      </c>
      <c r="C4" s="26" cm="1">
        <f t="array" aca="1" ref="C4:C123" ca="1">OFFSET('II. EU CTB &amp; PAB Report'!$C$27,,,COUNTIF('II. EU CTB &amp; PAB Report'!$C$27:$C$146,"&lt;&gt;"))</f>
        <v>44651</v>
      </c>
      <c r="D4" s="26" t="e" cm="1">
        <f t="array" aca="1" ref="D4" ca="1">OFFSET('II. EU CTB &amp; PAB Report'!#REF!,,,COUNTIF('II. EU CTB &amp; PAB Report'!#REF!,"&lt;&gt;"))</f>
        <v>#REF!</v>
      </c>
      <c r="E4" cm="1">
        <f t="array" aca="1" ref="E4:E123" ca="1">OFFSET('II. EU CTB &amp; PAB Report'!$D$27,,,COUNTIF('II. EU CTB &amp; PAB Report'!$D$27:$D$146,"&lt;&gt;"))</f>
        <v>38811702.4108513</v>
      </c>
      <c r="F4" cm="1">
        <f t="array" aca="1" ref="F4:F123" ca="1">OFFSET('II. EU CTB &amp; PAB Report'!$I$27,,,COUNTIF('II. EU CTB &amp; PAB Report'!$I$27:$I$146,"&lt;&gt;"))</f>
        <v>18920704.925290007</v>
      </c>
      <c r="G4" cm="1">
        <f t="array" aca="1" ref="G4:G123" ca="1">OFFSET('II. EU CTB &amp; PAB Report'!$J$27,,,COUNTIF('II. EU CTB &amp; PAB Report'!$J$27:$J$146,"&lt;&gt;"))</f>
        <v>18637944.518108599</v>
      </c>
      <c r="H4" t="e" cm="1">
        <f t="array" aca="1" ref="H4" ca="1">OFFSET('II. EU CTB &amp; PAB Report'!#REF!,,,COUNTIF('II. EU CTB &amp; PAB Report'!#REF!,"&lt;&gt;"))</f>
        <v>#REF!</v>
      </c>
      <c r="I4" t="e" cm="1">
        <f t="array" aca="1" ref="I4" ca="1">OFFSET('II. EU CTB &amp; PAB Report'!#REF!,,,COUNTIF('II. EU CTB &amp; PAB Report'!#REF!,"&lt;&gt;"))</f>
        <v>#REF!</v>
      </c>
      <c r="J4" t="e" cm="1">
        <f t="array" aca="1" ref="J4" ca="1">OFFSET('II. EU CTB &amp; PAB Report'!#REF!,,,COUNTIF('II. EU CTB &amp; PAB Report'!#REF!,"&lt;&gt;"))</f>
        <v>#REF!</v>
      </c>
      <c r="K4" t="e" cm="1">
        <f t="array" aca="1" ref="K4" ca="1">OFFSET('II. EU CTB &amp; PAB Report'!#REF!,,,COUNTIF('II. EU CTB &amp; PAB Report'!#REF!,"&lt;&gt;"))</f>
        <v>#REF!</v>
      </c>
      <c r="M4" s="26">
        <f>'II. EU CTB &amp; PAB Report'!C27</f>
        <v>44651</v>
      </c>
      <c r="N4" s="26" t="str">
        <f>'II. EU CTB &amp; PAB Report'!$F$10&amp;REF!A4</f>
        <v>iBoxx MSCI GBP Corporates Paris Aligned Capped TCA Index0</v>
      </c>
      <c r="O4" s="32">
        <f>IF(VLOOKUP(N4,PAB_CTB_Database!$B:$I,8,FALSE)="***",NA(),VLOOKUP(N4,PAB_CTB_Database!$B:$I,8,FALSE))</f>
        <v>38811702.4108513</v>
      </c>
      <c r="P4" s="32">
        <f>IF(VLOOKUP(N4,PAB_CTB_Database!$B:$J,9,FALSE)="***",NA(),VLOOKUP(N4,PAB_CTB_Database!$B:$J,9,FALSE))</f>
        <v>19405851.20542565</v>
      </c>
      <c r="Q4" s="32">
        <f>IF(VLOOKUP(N4,PAB_CTB_Database!$B:$K,10,FALSE)="***",NA(),VLOOKUP(N4,PAB_CTB_Database!$B:$K,10,FALSE))</f>
        <v>19405851.20542565</v>
      </c>
      <c r="R4" s="32">
        <f>IF(VLOOKUP(N4,PAB_CTB_Database!$B:$M,12,FALSE)="***",NA(),VLOOKUP(N4,PAB_CTB_Database!$B:$M,12,FALSE))</f>
        <v>18920704.925290007</v>
      </c>
      <c r="S4" s="32">
        <f>IF(VLOOKUP(N4,PAB_CTB_Database!$B:$N,13,FALSE)="***",NA(),VLOOKUP(N4,PAB_CTB_Database!$B:$N,13,FALSE))</f>
        <v>18637944.518108599</v>
      </c>
      <c r="U4" s="26">
        <f>M4</f>
        <v>44651</v>
      </c>
      <c r="V4" s="26" t="str">
        <f>N4</f>
        <v>iBoxx MSCI GBP Corporates Paris Aligned Capped TCA Index0</v>
      </c>
      <c r="W4" s="32">
        <f>IF(O4=0,NA(),O4)</f>
        <v>38811702.4108513</v>
      </c>
      <c r="X4" s="32">
        <f t="shared" ref="X4:X51" si="0">IF(S4=0,NA(),S4)</f>
        <v>18637944.518108599</v>
      </c>
      <c r="Y4" s="32">
        <f t="shared" ref="Y4:AA4" si="1">IF(P4=0,NA(),P4)</f>
        <v>19405851.20542565</v>
      </c>
      <c r="Z4" s="32">
        <f t="shared" si="1"/>
        <v>19405851.20542565</v>
      </c>
      <c r="AA4" s="32">
        <f t="shared" si="1"/>
        <v>18920704.925290007</v>
      </c>
      <c r="AC4" s="25" t="s">
        <v>591</v>
      </c>
      <c r="AD4" t="s">
        <v>592</v>
      </c>
      <c r="AE4" t="s">
        <v>593</v>
      </c>
      <c r="AF4" t="s">
        <v>594</v>
      </c>
      <c r="AG4" t="s">
        <v>595</v>
      </c>
      <c r="AH4" t="s">
        <v>596</v>
      </c>
      <c r="AL4" s="26">
        <v>45596</v>
      </c>
      <c r="AM4" s="43">
        <v>43921</v>
      </c>
      <c r="AO4" t="s">
        <v>142</v>
      </c>
      <c r="AQ4" t="s">
        <v>445</v>
      </c>
      <c r="AR4" t="s">
        <v>597</v>
      </c>
      <c r="AS4" t="s">
        <v>598</v>
      </c>
      <c r="AT4" t="s">
        <v>599</v>
      </c>
      <c r="AU4" t="s">
        <v>600</v>
      </c>
      <c r="AV4" t="s">
        <v>45</v>
      </c>
      <c r="AW4" t="s">
        <v>601</v>
      </c>
      <c r="AX4" t="s">
        <v>50</v>
      </c>
      <c r="AY4" t="s">
        <v>52</v>
      </c>
      <c r="AZ4" t="s">
        <v>54</v>
      </c>
      <c r="BA4" t="s">
        <v>57</v>
      </c>
      <c r="BB4" t="s">
        <v>60</v>
      </c>
      <c r="BC4" t="s">
        <v>602</v>
      </c>
      <c r="BD4" t="s">
        <v>62</v>
      </c>
      <c r="BF4" t="s">
        <v>71</v>
      </c>
      <c r="BG4" t="s">
        <v>74</v>
      </c>
      <c r="BH4" t="s">
        <v>603</v>
      </c>
      <c r="BI4" t="s">
        <v>604</v>
      </c>
      <c r="BJ4" t="s">
        <v>80</v>
      </c>
      <c r="BK4" t="s">
        <v>83</v>
      </c>
      <c r="BL4" t="s">
        <v>86</v>
      </c>
      <c r="BM4" t="s">
        <v>605</v>
      </c>
      <c r="BN4" t="s">
        <v>92</v>
      </c>
      <c r="BO4" s="30" t="s">
        <v>606</v>
      </c>
      <c r="BQ4" t="s">
        <v>607</v>
      </c>
      <c r="BR4" t="s">
        <v>608</v>
      </c>
      <c r="BS4" t="s">
        <v>609</v>
      </c>
      <c r="BT4" t="s">
        <v>104</v>
      </c>
      <c r="BU4" t="s">
        <v>610</v>
      </c>
      <c r="BV4" t="s">
        <v>611</v>
      </c>
      <c r="BW4" t="s">
        <v>612</v>
      </c>
      <c r="BX4" t="s">
        <v>613</v>
      </c>
    </row>
    <row r="5" spans="1:76" x14ac:dyDescent="0.35">
      <c r="A5">
        <v>1</v>
      </c>
      <c r="C5" s="26">
        <f ca="1"/>
        <v>44681</v>
      </c>
      <c r="D5" s="26"/>
      <c r="E5">
        <f ca="1"/>
        <v>39030877.017535798</v>
      </c>
      <c r="F5">
        <f ca="1"/>
        <v>18806626.166467149</v>
      </c>
      <c r="G5">
        <f ca="1"/>
        <v>18062431.343655799</v>
      </c>
      <c r="M5" s="26">
        <f>'II. EU CTB &amp; PAB Report'!C28</f>
        <v>44681</v>
      </c>
      <c r="N5" s="26" t="str">
        <f>'II. EU CTB &amp; PAB Report'!$F$10&amp;REF!A5</f>
        <v>iBoxx MSCI GBP Corporates Paris Aligned Capped TCA Index1</v>
      </c>
      <c r="O5" s="32">
        <f>IF(VLOOKUP(N5,PAB_CTB_Database!$B:$I,8,FALSE)="***",NA(),VLOOKUP(N5,PAB_CTB_Database!$B:$I,8,FALSE))</f>
        <v>39030877.017535798</v>
      </c>
      <c r="P5" s="32">
        <f>IF(VLOOKUP(N5,PAB_CTB_Database!$B:$J,9,FALSE)="***",NA(),VLOOKUP(N5,PAB_CTB_Database!$B:$J,9,FALSE))</f>
        <v>19515438.508767899</v>
      </c>
      <c r="Q5" s="32">
        <f>IF(VLOOKUP(N5,PAB_CTB_Database!$B:$K,10,FALSE)="***",NA(),VLOOKUP(N5,PAB_CTB_Database!$B:$K,10,FALSE))</f>
        <v>19288847.350222718</v>
      </c>
      <c r="R5" s="32">
        <f>IF(VLOOKUP(N5,PAB_CTB_Database!$B:$M,12,FALSE)="***",NA(),VLOOKUP(N5,PAB_CTB_Database!$B:$M,12,FALSE))</f>
        <v>18806626.166467149</v>
      </c>
      <c r="S5" s="32">
        <f>IF(VLOOKUP(N5,PAB_CTB_Database!$B:$N,13,FALSE)="***",NA(),VLOOKUP(N5,PAB_CTB_Database!$B:$N,13,FALSE))</f>
        <v>18062431.343655799</v>
      </c>
      <c r="U5" s="26">
        <f t="shared" ref="U5:U51" si="2">M5</f>
        <v>44681</v>
      </c>
      <c r="V5" s="26" t="str">
        <f t="shared" ref="V5:V51" si="3">N5</f>
        <v>iBoxx MSCI GBP Corporates Paris Aligned Capped TCA Index1</v>
      </c>
      <c r="W5" s="32">
        <f t="shared" ref="W5:W51" si="4">IF(O5=0,NA(),O5)</f>
        <v>39030877.017535798</v>
      </c>
      <c r="X5" s="32">
        <f t="shared" si="0"/>
        <v>18062431.343655799</v>
      </c>
      <c r="Y5" s="32">
        <f t="shared" ref="Y5:Y51" si="5">IF(P5=0,NA(),P5)</f>
        <v>19515438.508767899</v>
      </c>
      <c r="Z5" s="32">
        <f t="shared" ref="Z5:Z51" si="6">IF(Q5=0,NA(),Q5)</f>
        <v>19288847.350222718</v>
      </c>
      <c r="AA5" s="32">
        <f t="shared" ref="AA5:AA51" si="7">IF(R5=0,NA(),R5)</f>
        <v>18806626.166467149</v>
      </c>
      <c r="AC5" s="25" t="s">
        <v>614</v>
      </c>
      <c r="AD5" t="s">
        <v>615</v>
      </c>
      <c r="AE5" t="s">
        <v>616</v>
      </c>
      <c r="AF5" t="s">
        <v>617</v>
      </c>
      <c r="AG5" t="s">
        <v>618</v>
      </c>
      <c r="AH5" t="s">
        <v>619</v>
      </c>
      <c r="AL5" s="26">
        <v>45626</v>
      </c>
      <c r="AM5" s="43">
        <v>44012</v>
      </c>
      <c r="AO5" t="s">
        <v>144</v>
      </c>
      <c r="AQ5" t="s">
        <v>395</v>
      </c>
      <c r="AR5" t="s">
        <v>620</v>
      </c>
      <c r="AS5" t="s">
        <v>621</v>
      </c>
      <c r="AT5" t="s">
        <v>622</v>
      </c>
      <c r="AU5" t="s">
        <v>623</v>
      </c>
      <c r="AV5" t="s">
        <v>45</v>
      </c>
      <c r="AW5" s="238" t="s">
        <v>624</v>
      </c>
      <c r="AX5" t="s">
        <v>50</v>
      </c>
      <c r="AY5" t="s">
        <v>52</v>
      </c>
      <c r="AZ5" t="s">
        <v>54</v>
      </c>
      <c r="BA5" t="s">
        <v>57</v>
      </c>
      <c r="BB5" t="s">
        <v>60</v>
      </c>
      <c r="BC5" t="s">
        <v>625</v>
      </c>
      <c r="BD5" t="s">
        <v>62</v>
      </c>
      <c r="BF5" t="s">
        <v>71</v>
      </c>
      <c r="BG5" t="s">
        <v>74</v>
      </c>
      <c r="BH5" t="s">
        <v>626</v>
      </c>
      <c r="BI5" t="s">
        <v>627</v>
      </c>
      <c r="BJ5" t="s">
        <v>80</v>
      </c>
      <c r="BL5" t="s">
        <v>86</v>
      </c>
      <c r="BM5" t="s">
        <v>605</v>
      </c>
      <c r="BN5" s="30" t="s">
        <v>628</v>
      </c>
      <c r="BO5" s="30" t="s">
        <v>628</v>
      </c>
      <c r="BQ5" s="30" t="s">
        <v>629</v>
      </c>
      <c r="BR5" s="30" t="s">
        <v>630</v>
      </c>
      <c r="BS5" t="s">
        <v>631</v>
      </c>
      <c r="BT5" t="s">
        <v>104</v>
      </c>
      <c r="BU5" t="s">
        <v>632</v>
      </c>
      <c r="BV5" t="s">
        <v>633</v>
      </c>
      <c r="BW5" t="s">
        <v>634</v>
      </c>
      <c r="BX5" t="s">
        <v>635</v>
      </c>
    </row>
    <row r="6" spans="1:76" x14ac:dyDescent="0.35">
      <c r="A6">
        <v>2</v>
      </c>
      <c r="C6" s="26">
        <f ca="1"/>
        <v>44712</v>
      </c>
      <c r="D6" s="26"/>
      <c r="E6">
        <f ca="1"/>
        <v>38525742.904932402</v>
      </c>
      <c r="F6">
        <f ca="1"/>
        <v>18693235.223625034</v>
      </c>
      <c r="G6">
        <f ca="1"/>
        <v>17953527.380662899</v>
      </c>
      <c r="M6" s="26">
        <f>'II. EU CTB &amp; PAB Report'!C29</f>
        <v>44712</v>
      </c>
      <c r="N6" s="26" t="str">
        <f>'II. EU CTB &amp; PAB Report'!$F$10&amp;REF!A6</f>
        <v>iBoxx MSCI GBP Corporates Paris Aligned Capped TCA Index2</v>
      </c>
      <c r="O6" s="32">
        <f>IF(VLOOKUP(N6,PAB_CTB_Database!$B:$I,8,FALSE)="***",NA(),VLOOKUP(N6,PAB_CTB_Database!$B:$I,8,FALSE))</f>
        <v>38525742.904932402</v>
      </c>
      <c r="P6" s="32">
        <f>IF(VLOOKUP(N6,PAB_CTB_Database!$B:$J,9,FALSE)="***",NA(),VLOOKUP(N6,PAB_CTB_Database!$B:$J,9,FALSE))</f>
        <v>19262871.452466201</v>
      </c>
      <c r="Q6" s="32">
        <f>IF(VLOOKUP(N6,PAB_CTB_Database!$B:$K,10,FALSE)="***",NA(),VLOOKUP(N6,PAB_CTB_Database!$B:$K,10,FALSE))</f>
        <v>19172548.947307728</v>
      </c>
      <c r="R6" s="32">
        <f>IF(VLOOKUP(N6,PAB_CTB_Database!$B:$M,12,FALSE)="***",NA(),VLOOKUP(N6,PAB_CTB_Database!$B:$M,12,FALSE))</f>
        <v>18693235.223625034</v>
      </c>
      <c r="S6" s="32">
        <f>IF(VLOOKUP(N6,PAB_CTB_Database!$B:$N,13,FALSE)="***",NA(),VLOOKUP(N6,PAB_CTB_Database!$B:$N,13,FALSE))</f>
        <v>17953527.380662899</v>
      </c>
      <c r="U6" s="26">
        <f t="shared" si="2"/>
        <v>44712</v>
      </c>
      <c r="V6" s="26" t="str">
        <f t="shared" si="3"/>
        <v>iBoxx MSCI GBP Corporates Paris Aligned Capped TCA Index2</v>
      </c>
      <c r="W6" s="32">
        <f t="shared" si="4"/>
        <v>38525742.904932402</v>
      </c>
      <c r="X6" s="32">
        <f t="shared" si="0"/>
        <v>17953527.380662899</v>
      </c>
      <c r="Y6" s="32">
        <f t="shared" si="5"/>
        <v>19262871.452466201</v>
      </c>
      <c r="Z6" s="32">
        <f t="shared" si="6"/>
        <v>19172548.947307728</v>
      </c>
      <c r="AA6" s="32">
        <f t="shared" si="7"/>
        <v>18693235.223625034</v>
      </c>
      <c r="AC6" s="25" t="s">
        <v>578</v>
      </c>
      <c r="AD6" t="s">
        <v>636</v>
      </c>
      <c r="AE6" t="s">
        <v>637</v>
      </c>
      <c r="AF6" t="s">
        <v>638</v>
      </c>
      <c r="AG6" t="s">
        <v>618</v>
      </c>
      <c r="AH6" t="s">
        <v>11</v>
      </c>
      <c r="AL6" s="42"/>
      <c r="AM6" s="43">
        <v>44104</v>
      </c>
      <c r="AO6" t="s">
        <v>146</v>
      </c>
    </row>
    <row r="7" spans="1:76" x14ac:dyDescent="0.35">
      <c r="A7">
        <v>3</v>
      </c>
      <c r="C7" s="26">
        <f ca="1"/>
        <v>44742</v>
      </c>
      <c r="D7" s="26"/>
      <c r="E7">
        <f ca="1"/>
        <v>35797405.459961303</v>
      </c>
      <c r="F7">
        <f ca="1"/>
        <v>17451235.161731135</v>
      </c>
      <c r="G7">
        <f ca="1"/>
        <v>17451235.161730301</v>
      </c>
      <c r="M7" s="26">
        <f>'II. EU CTB &amp; PAB Report'!C30</f>
        <v>44742</v>
      </c>
      <c r="N7" s="26" t="str">
        <f>'II. EU CTB &amp; PAB Report'!$F$10&amp;REF!A7</f>
        <v>iBoxx MSCI GBP Corporates Paris Aligned Capped TCA Index3</v>
      </c>
      <c r="O7" s="32">
        <f>IF(VLOOKUP(N7,PAB_CTB_Database!$B:$I,8,FALSE)="***",NA(),VLOOKUP(N7,PAB_CTB_Database!$B:$I,8,FALSE))</f>
        <v>35797405.459961303</v>
      </c>
      <c r="P7" s="32">
        <f>IF(VLOOKUP(N7,PAB_CTB_Database!$B:$J,9,FALSE)="***",NA(),VLOOKUP(N7,PAB_CTB_Database!$B:$J,9,FALSE))</f>
        <v>17898702.729980651</v>
      </c>
      <c r="Q7" s="32">
        <f>IF(VLOOKUP(N7,PAB_CTB_Database!$B:$K,10,FALSE)="***",NA(),VLOOKUP(N7,PAB_CTB_Database!$B:$K,10,FALSE))</f>
        <v>19056951.743291516</v>
      </c>
      <c r="R7" s="32">
        <f>IF(VLOOKUP(N7,PAB_CTB_Database!$B:$M,12,FALSE)="***",NA(),VLOOKUP(N7,PAB_CTB_Database!$B:$M,12,FALSE))</f>
        <v>17451235.161731135</v>
      </c>
      <c r="S7" s="32">
        <f>IF(VLOOKUP(N7,PAB_CTB_Database!$B:$N,13,FALSE)="***",NA(),VLOOKUP(N7,PAB_CTB_Database!$B:$N,13,FALSE))</f>
        <v>17451235.161730301</v>
      </c>
      <c r="U7" s="26">
        <f t="shared" si="2"/>
        <v>44742</v>
      </c>
      <c r="V7" s="26" t="str">
        <f t="shared" si="3"/>
        <v>iBoxx MSCI GBP Corporates Paris Aligned Capped TCA Index3</v>
      </c>
      <c r="W7" s="32">
        <f t="shared" si="4"/>
        <v>35797405.459961303</v>
      </c>
      <c r="X7" s="32">
        <f t="shared" si="0"/>
        <v>17451235.161730301</v>
      </c>
      <c r="Y7" s="32">
        <f t="shared" si="5"/>
        <v>17898702.729980651</v>
      </c>
      <c r="Z7" s="32">
        <f t="shared" si="6"/>
        <v>19056951.743291516</v>
      </c>
      <c r="AA7" s="32">
        <f t="shared" si="7"/>
        <v>17451235.161731135</v>
      </c>
      <c r="AL7" s="42"/>
      <c r="AM7" s="43">
        <v>44196</v>
      </c>
      <c r="AO7" t="s">
        <v>148</v>
      </c>
      <c r="BN7" s="30" t="s">
        <v>639</v>
      </c>
      <c r="BO7" s="30" t="s">
        <v>640</v>
      </c>
      <c r="BQ7" s="30" t="s">
        <v>641</v>
      </c>
    </row>
    <row r="8" spans="1:76" x14ac:dyDescent="0.35">
      <c r="A8">
        <v>4</v>
      </c>
      <c r="C8" s="26">
        <f ca="1"/>
        <v>44773</v>
      </c>
      <c r="D8" s="26"/>
      <c r="E8">
        <f ca="1"/>
        <v>41456638.966018103</v>
      </c>
      <c r="F8">
        <f ca="1"/>
        <v>18468500.222669147</v>
      </c>
      <c r="G8">
        <f ca="1"/>
        <v>17737685.3421624</v>
      </c>
      <c r="M8" s="26">
        <f>'II. EU CTB &amp; PAB Report'!C31</f>
        <v>44773</v>
      </c>
      <c r="N8" s="26" t="str">
        <f>'II. EU CTB &amp; PAB Report'!$F$10&amp;REF!A8</f>
        <v>iBoxx MSCI GBP Corporates Paris Aligned Capped TCA Index4</v>
      </c>
      <c r="O8" s="32">
        <f>IF(VLOOKUP(N8,PAB_CTB_Database!$B:$I,8,FALSE)="***",NA(),VLOOKUP(N8,PAB_CTB_Database!$B:$I,8,FALSE))</f>
        <v>41456638.966018103</v>
      </c>
      <c r="P8" s="32">
        <f>IF(VLOOKUP(N8,PAB_CTB_Database!$B:$J,9,FALSE)="***",NA(),VLOOKUP(N8,PAB_CTB_Database!$B:$J,9,FALSE))</f>
        <v>20728319.483009052</v>
      </c>
      <c r="Q8" s="32">
        <f>IF(VLOOKUP(N8,PAB_CTB_Database!$B:$K,10,FALSE)="***",NA(),VLOOKUP(N8,PAB_CTB_Database!$B:$K,10,FALSE))</f>
        <v>18942051.510429896</v>
      </c>
      <c r="R8" s="32">
        <f>IF(VLOOKUP(N8,PAB_CTB_Database!$B:$M,12,FALSE)="***",NA(),VLOOKUP(N8,PAB_CTB_Database!$B:$M,12,FALSE))</f>
        <v>18468500.222669147</v>
      </c>
      <c r="S8" s="32">
        <f>IF(VLOOKUP(N8,PAB_CTB_Database!$B:$N,13,FALSE)="***",NA(),VLOOKUP(N8,PAB_CTB_Database!$B:$N,13,FALSE))</f>
        <v>17737685.3421624</v>
      </c>
      <c r="U8" s="26">
        <f t="shared" si="2"/>
        <v>44773</v>
      </c>
      <c r="V8" s="26" t="str">
        <f t="shared" si="3"/>
        <v>iBoxx MSCI GBP Corporates Paris Aligned Capped TCA Index4</v>
      </c>
      <c r="W8" s="32">
        <f t="shared" si="4"/>
        <v>41456638.966018103</v>
      </c>
      <c r="X8" s="32">
        <f t="shared" si="0"/>
        <v>17737685.3421624</v>
      </c>
      <c r="Y8" s="32">
        <f t="shared" si="5"/>
        <v>20728319.483009052</v>
      </c>
      <c r="Z8" s="32">
        <f t="shared" si="6"/>
        <v>18942051.510429896</v>
      </c>
      <c r="AA8" s="32">
        <f t="shared" si="7"/>
        <v>18468500.222669147</v>
      </c>
      <c r="AL8" s="42"/>
      <c r="AM8" s="43">
        <v>44286</v>
      </c>
      <c r="AO8" t="s">
        <v>150</v>
      </c>
    </row>
    <row r="9" spans="1:76" x14ac:dyDescent="0.35">
      <c r="A9">
        <v>5</v>
      </c>
      <c r="C9" s="26">
        <f ca="1"/>
        <v>44804</v>
      </c>
      <c r="D9" s="26"/>
      <c r="E9">
        <f ca="1"/>
        <v>41207952.271033302</v>
      </c>
      <c r="F9">
        <f ca="1"/>
        <v>18357147.945307344</v>
      </c>
      <c r="G9">
        <f ca="1"/>
        <v>17630739.373056501</v>
      </c>
      <c r="M9" s="26">
        <f>'II. EU CTB &amp; PAB Report'!C32</f>
        <v>44804</v>
      </c>
      <c r="N9" s="26" t="str">
        <f>'II. EU CTB &amp; PAB Report'!$F$10&amp;REF!A9</f>
        <v>iBoxx MSCI GBP Corporates Paris Aligned Capped TCA Index5</v>
      </c>
      <c r="O9" s="32">
        <f>IF(VLOOKUP(N9,PAB_CTB_Database!$B:$I,8,FALSE)="***",NA(),VLOOKUP(N9,PAB_CTB_Database!$B:$I,8,FALSE))</f>
        <v>41207952.271033302</v>
      </c>
      <c r="P9" s="32">
        <f>IF(VLOOKUP(N9,PAB_CTB_Database!$B:$J,9,FALSE)="***",NA(),VLOOKUP(N9,PAB_CTB_Database!$B:$J,9,FALSE))</f>
        <v>20603976.135516651</v>
      </c>
      <c r="Q9" s="32">
        <f>IF(VLOOKUP(N9,PAB_CTB_Database!$B:$K,10,FALSE)="***",NA(),VLOOKUP(N9,PAB_CTB_Database!$B:$K,10,FALSE))</f>
        <v>18827844.04646907</v>
      </c>
      <c r="R9" s="32">
        <f>IF(VLOOKUP(N9,PAB_CTB_Database!$B:$M,12,FALSE)="***",NA(),VLOOKUP(N9,PAB_CTB_Database!$B:$M,12,FALSE))</f>
        <v>18357147.945307344</v>
      </c>
      <c r="S9" s="32">
        <f>IF(VLOOKUP(N9,PAB_CTB_Database!$B:$N,13,FALSE)="***",NA(),VLOOKUP(N9,PAB_CTB_Database!$B:$N,13,FALSE))</f>
        <v>17630739.373056501</v>
      </c>
      <c r="U9" s="26">
        <f t="shared" si="2"/>
        <v>44804</v>
      </c>
      <c r="V9" s="26" t="str">
        <f t="shared" si="3"/>
        <v>iBoxx MSCI GBP Corporates Paris Aligned Capped TCA Index5</v>
      </c>
      <c r="W9" s="32">
        <f t="shared" si="4"/>
        <v>41207952.271033302</v>
      </c>
      <c r="X9" s="32">
        <f t="shared" si="0"/>
        <v>17630739.373056501</v>
      </c>
      <c r="Y9" s="32">
        <f t="shared" si="5"/>
        <v>20603976.135516651</v>
      </c>
      <c r="Z9" s="32">
        <f t="shared" si="6"/>
        <v>18827844.04646907</v>
      </c>
      <c r="AA9" s="32">
        <f t="shared" si="7"/>
        <v>18357147.945307344</v>
      </c>
      <c r="AL9" s="42"/>
      <c r="AM9" s="43">
        <v>44377</v>
      </c>
      <c r="AO9" t="s">
        <v>152</v>
      </c>
    </row>
    <row r="10" spans="1:76" x14ac:dyDescent="0.35">
      <c r="A10">
        <v>6</v>
      </c>
      <c r="C10" s="26">
        <f ca="1"/>
        <v>44834</v>
      </c>
      <c r="D10" s="26"/>
      <c r="E10">
        <f ca="1"/>
        <v>36744368.285252102</v>
      </c>
      <c r="F10">
        <f ca="1"/>
        <v>17912879.539060399</v>
      </c>
      <c r="G10">
        <f ca="1"/>
        <v>17524438.213939499</v>
      </c>
      <c r="M10" s="26">
        <f>'II. EU CTB &amp; PAB Report'!C33</f>
        <v>44834</v>
      </c>
      <c r="N10" s="26" t="str">
        <f>'II. EU CTB &amp; PAB Report'!$F$10&amp;REF!A10</f>
        <v>iBoxx MSCI GBP Corporates Paris Aligned Capped TCA Index6</v>
      </c>
      <c r="O10" s="32">
        <f>IF(VLOOKUP(N10,PAB_CTB_Database!$B:$I,8,FALSE)="***",NA(),VLOOKUP(N10,PAB_CTB_Database!$B:$I,8,FALSE))</f>
        <v>36744368.285252102</v>
      </c>
      <c r="P10" s="32">
        <f>IF(VLOOKUP(N10,PAB_CTB_Database!$B:$J,9,FALSE)="***",NA(),VLOOKUP(N10,PAB_CTB_Database!$B:$J,9,FALSE))</f>
        <v>18372184.142626051</v>
      </c>
      <c r="Q10" s="32">
        <f>IF(VLOOKUP(N10,PAB_CTB_Database!$B:$K,10,FALSE)="***",NA(),VLOOKUP(N10,PAB_CTB_Database!$B:$K,10,FALSE))</f>
        <v>18714325.174491912</v>
      </c>
      <c r="R10" s="32">
        <f>IF(VLOOKUP(N10,PAB_CTB_Database!$B:$M,12,FALSE)="***",NA(),VLOOKUP(N10,PAB_CTB_Database!$B:$M,12,FALSE))</f>
        <v>17912879.539060399</v>
      </c>
      <c r="S10" s="32">
        <f>IF(VLOOKUP(N10,PAB_CTB_Database!$B:$N,13,FALSE)="***",NA(),VLOOKUP(N10,PAB_CTB_Database!$B:$N,13,FALSE))</f>
        <v>17524438.213939499</v>
      </c>
      <c r="U10" s="26">
        <f t="shared" si="2"/>
        <v>44834</v>
      </c>
      <c r="V10" s="26" t="str">
        <f t="shared" si="3"/>
        <v>iBoxx MSCI GBP Corporates Paris Aligned Capped TCA Index6</v>
      </c>
      <c r="W10" s="32">
        <f t="shared" si="4"/>
        <v>36744368.285252102</v>
      </c>
      <c r="X10" s="32">
        <f t="shared" si="0"/>
        <v>17524438.213939499</v>
      </c>
      <c r="Y10" s="32">
        <f t="shared" si="5"/>
        <v>18372184.142626051</v>
      </c>
      <c r="Z10" s="32">
        <f t="shared" si="6"/>
        <v>18714325.174491912</v>
      </c>
      <c r="AA10" s="32">
        <f t="shared" si="7"/>
        <v>17912879.539060399</v>
      </c>
      <c r="AL10" s="42"/>
      <c r="AM10" s="43">
        <v>44469</v>
      </c>
      <c r="AO10" t="s">
        <v>154</v>
      </c>
      <c r="BM10" t="s">
        <v>642</v>
      </c>
    </row>
    <row r="11" spans="1:76" x14ac:dyDescent="0.35">
      <c r="A11">
        <v>7</v>
      </c>
      <c r="C11" s="26">
        <f ca="1"/>
        <v>44865</v>
      </c>
      <c r="D11" s="26"/>
      <c r="E11">
        <f ca="1"/>
        <v>38375793.915126503</v>
      </c>
      <c r="F11">
        <f ca="1"/>
        <v>18136453.474196095</v>
      </c>
      <c r="G11">
        <f ca="1"/>
        <v>17418777.977263201</v>
      </c>
      <c r="M11" s="26">
        <f>'II. EU CTB &amp; PAB Report'!C34</f>
        <v>44865</v>
      </c>
      <c r="N11" s="26" t="str">
        <f>'II. EU CTB &amp; PAB Report'!$F$10&amp;REF!A11</f>
        <v>iBoxx MSCI GBP Corporates Paris Aligned Capped TCA Index7</v>
      </c>
      <c r="O11" s="32">
        <f>IF(VLOOKUP(N11,PAB_CTB_Database!$B:$I,8,FALSE)="***",NA(),VLOOKUP(N11,PAB_CTB_Database!$B:$I,8,FALSE))</f>
        <v>38375793.915126503</v>
      </c>
      <c r="P11" s="32">
        <f>IF(VLOOKUP(N11,PAB_CTB_Database!$B:$J,9,FALSE)="***",NA(),VLOOKUP(N11,PAB_CTB_Database!$B:$J,9,FALSE))</f>
        <v>19187896.957563251</v>
      </c>
      <c r="Q11" s="32">
        <f>IF(VLOOKUP(N11,PAB_CTB_Database!$B:$K,10,FALSE)="***",NA(),VLOOKUP(N11,PAB_CTB_Database!$B:$K,10,FALSE))</f>
        <v>18601490.742765225</v>
      </c>
      <c r="R11" s="32">
        <f>IF(VLOOKUP(N11,PAB_CTB_Database!$B:$M,12,FALSE)="***",NA(),VLOOKUP(N11,PAB_CTB_Database!$B:$M,12,FALSE))</f>
        <v>18136453.474196095</v>
      </c>
      <c r="S11" s="32">
        <f>IF(VLOOKUP(N11,PAB_CTB_Database!$B:$N,13,FALSE)="***",NA(),VLOOKUP(N11,PAB_CTB_Database!$B:$N,13,FALSE))</f>
        <v>17418777.977263201</v>
      </c>
      <c r="U11" s="26">
        <f t="shared" si="2"/>
        <v>44865</v>
      </c>
      <c r="V11" s="26" t="str">
        <f t="shared" si="3"/>
        <v>iBoxx MSCI GBP Corporates Paris Aligned Capped TCA Index7</v>
      </c>
      <c r="W11" s="32">
        <f t="shared" si="4"/>
        <v>38375793.915126503</v>
      </c>
      <c r="X11" s="32">
        <f t="shared" si="0"/>
        <v>17418777.977263201</v>
      </c>
      <c r="Y11" s="32">
        <f t="shared" si="5"/>
        <v>19187896.957563251</v>
      </c>
      <c r="Z11" s="32">
        <f t="shared" si="6"/>
        <v>18601490.742765225</v>
      </c>
      <c r="AA11" s="32">
        <f t="shared" si="7"/>
        <v>18136453.474196095</v>
      </c>
      <c r="AL11" s="42"/>
      <c r="AM11" s="43">
        <v>44561</v>
      </c>
      <c r="AO11" t="s">
        <v>156</v>
      </c>
    </row>
    <row r="12" spans="1:76" x14ac:dyDescent="0.35">
      <c r="A12">
        <v>8</v>
      </c>
      <c r="C12" s="26">
        <f ca="1"/>
        <v>44895</v>
      </c>
      <c r="D12" s="26"/>
      <c r="E12">
        <f ca="1"/>
        <v>37097339.962536603</v>
      </c>
      <c r="F12">
        <f ca="1"/>
        <v>18027103.208973188</v>
      </c>
      <c r="G12">
        <f ca="1"/>
        <v>17313754.798705101</v>
      </c>
      <c r="M12" s="26">
        <f>'II. EU CTB &amp; PAB Report'!C35</f>
        <v>44895</v>
      </c>
      <c r="N12" s="26" t="str">
        <f>'II. EU CTB &amp; PAB Report'!$F$10&amp;REF!A12</f>
        <v>iBoxx MSCI GBP Corporates Paris Aligned Capped TCA Index8</v>
      </c>
      <c r="O12" s="32">
        <f>IF(VLOOKUP(N12,PAB_CTB_Database!$B:$I,8,FALSE)="***",NA(),VLOOKUP(N12,PAB_CTB_Database!$B:$I,8,FALSE))</f>
        <v>37097339.962536603</v>
      </c>
      <c r="P12" s="32">
        <f>IF(VLOOKUP(N12,PAB_CTB_Database!$B:$J,9,FALSE)="***",NA(),VLOOKUP(N12,PAB_CTB_Database!$B:$J,9,FALSE))</f>
        <v>18548669.981268302</v>
      </c>
      <c r="Q12" s="32">
        <f>IF(VLOOKUP(N12,PAB_CTB_Database!$B:$K,10,FALSE)="***",NA(),VLOOKUP(N12,PAB_CTB_Database!$B:$K,10,FALSE))</f>
        <v>18489336.624587886</v>
      </c>
      <c r="R12" s="32">
        <f>IF(VLOOKUP(N12,PAB_CTB_Database!$B:$M,12,FALSE)="***",NA(),VLOOKUP(N12,PAB_CTB_Database!$B:$M,12,FALSE))</f>
        <v>18027103.208973188</v>
      </c>
      <c r="S12" s="32">
        <f>IF(VLOOKUP(N12,PAB_CTB_Database!$B:$N,13,FALSE)="***",NA(),VLOOKUP(N12,PAB_CTB_Database!$B:$N,13,FALSE))</f>
        <v>17313754.798705101</v>
      </c>
      <c r="U12" s="26">
        <f t="shared" si="2"/>
        <v>44895</v>
      </c>
      <c r="V12" s="26" t="str">
        <f t="shared" si="3"/>
        <v>iBoxx MSCI GBP Corporates Paris Aligned Capped TCA Index8</v>
      </c>
      <c r="W12" s="32">
        <f t="shared" si="4"/>
        <v>37097339.962536603</v>
      </c>
      <c r="X12" s="32">
        <f t="shared" si="0"/>
        <v>17313754.798705101</v>
      </c>
      <c r="Y12" s="32">
        <f t="shared" si="5"/>
        <v>18548669.981268302</v>
      </c>
      <c r="Z12" s="32">
        <f t="shared" si="6"/>
        <v>18489336.624587886</v>
      </c>
      <c r="AA12" s="32">
        <f t="shared" si="7"/>
        <v>18027103.208973188</v>
      </c>
      <c r="AL12" s="42"/>
      <c r="AM12" s="43">
        <v>44651</v>
      </c>
      <c r="AO12" t="s">
        <v>158</v>
      </c>
    </row>
    <row r="13" spans="1:76" x14ac:dyDescent="0.35">
      <c r="A13">
        <v>9</v>
      </c>
      <c r="C13" s="26">
        <f ca="1"/>
        <v>44926</v>
      </c>
      <c r="D13" s="26"/>
      <c r="E13">
        <f ca="1"/>
        <v>36723682.998461403</v>
      </c>
      <c r="F13">
        <f ca="1"/>
        <v>17902795.461749934</v>
      </c>
      <c r="G13">
        <f ca="1"/>
        <v>17209364.837242499</v>
      </c>
      <c r="M13" s="26">
        <f>'II. EU CTB &amp; PAB Report'!C36</f>
        <v>44926</v>
      </c>
      <c r="N13" s="26" t="str">
        <f>'II. EU CTB &amp; PAB Report'!$F$10&amp;REF!A13</f>
        <v>iBoxx MSCI GBP Corporates Paris Aligned Capped TCA Index9</v>
      </c>
      <c r="O13" s="32">
        <f>IF(VLOOKUP(N13,PAB_CTB_Database!$B:$I,8,FALSE)="***",NA(),VLOOKUP(N13,PAB_CTB_Database!$B:$I,8,FALSE))</f>
        <v>36723682.998461403</v>
      </c>
      <c r="P13" s="32">
        <f>IF(VLOOKUP(N13,PAB_CTB_Database!$B:$J,9,FALSE)="***",NA(),VLOOKUP(N13,PAB_CTB_Database!$B:$J,9,FALSE))</f>
        <v>18361841.499230701</v>
      </c>
      <c r="Q13" s="32">
        <f>IF(VLOOKUP(N13,PAB_CTB_Database!$B:$K,10,FALSE)="***",NA(),VLOOKUP(N13,PAB_CTB_Database!$B:$K,10,FALSE))</f>
        <v>18377858.718139924</v>
      </c>
      <c r="R13" s="32">
        <f>IF(VLOOKUP(N13,PAB_CTB_Database!$B:$M,12,FALSE)="***",NA(),VLOOKUP(N13,PAB_CTB_Database!$B:$M,12,FALSE))</f>
        <v>17902795.461749934</v>
      </c>
      <c r="S13" s="32">
        <f>IF(VLOOKUP(N13,PAB_CTB_Database!$B:$N,13,FALSE)="***",NA(),VLOOKUP(N13,PAB_CTB_Database!$B:$N,13,FALSE))</f>
        <v>17209364.837242499</v>
      </c>
      <c r="U13" s="26">
        <f t="shared" si="2"/>
        <v>44926</v>
      </c>
      <c r="V13" s="26" t="str">
        <f t="shared" si="3"/>
        <v>iBoxx MSCI GBP Corporates Paris Aligned Capped TCA Index9</v>
      </c>
      <c r="W13" s="32">
        <f t="shared" si="4"/>
        <v>36723682.998461403</v>
      </c>
      <c r="X13" s="32">
        <f t="shared" si="0"/>
        <v>17209364.837242499</v>
      </c>
      <c r="Y13" s="32">
        <f t="shared" si="5"/>
        <v>18361841.499230701</v>
      </c>
      <c r="Z13" s="32">
        <f t="shared" si="6"/>
        <v>18377858.718139924</v>
      </c>
      <c r="AA13" s="32">
        <f t="shared" si="7"/>
        <v>17902795.461749934</v>
      </c>
      <c r="AL13" s="42"/>
      <c r="AM13" s="43">
        <v>44742</v>
      </c>
      <c r="AO13" t="s">
        <v>160</v>
      </c>
    </row>
    <row r="14" spans="1:76" x14ac:dyDescent="0.35">
      <c r="A14">
        <v>10</v>
      </c>
      <c r="C14" s="26">
        <f ca="1"/>
        <v>44957</v>
      </c>
      <c r="D14" s="26"/>
      <c r="E14">
        <f ca="1"/>
        <v>35918200.404645301</v>
      </c>
      <c r="F14">
        <f ca="1"/>
        <v>17510122.697264586</v>
      </c>
      <c r="G14">
        <f ca="1"/>
        <v>17105604.2750162</v>
      </c>
      <c r="M14" s="26">
        <f>'II. EU CTB &amp; PAB Report'!C37</f>
        <v>44957</v>
      </c>
      <c r="N14" s="26" t="str">
        <f>'II. EU CTB &amp; PAB Report'!$F$10&amp;REF!A14</f>
        <v>iBoxx MSCI GBP Corporates Paris Aligned Capped TCA Index10</v>
      </c>
      <c r="O14" s="32">
        <f>IF(VLOOKUP(N14,PAB_CTB_Database!$B:$I,8,FALSE)="***",NA(),VLOOKUP(N14,PAB_CTB_Database!$B:$I,8,FALSE))</f>
        <v>35918200.404645301</v>
      </c>
      <c r="P14" s="32">
        <f>IF(VLOOKUP(N14,PAB_CTB_Database!$B:$J,9,FALSE)="***",NA(),VLOOKUP(N14,PAB_CTB_Database!$B:$J,9,FALSE))</f>
        <v>17959100.202322651</v>
      </c>
      <c r="Q14" s="32">
        <f>IF(VLOOKUP(N14,PAB_CTB_Database!$B:$K,10,FALSE)="***",NA(),VLOOKUP(N14,PAB_CTB_Database!$B:$K,10,FALSE))</f>
        <v>18267052.946332503</v>
      </c>
      <c r="R14" s="32">
        <f>IF(VLOOKUP(N14,PAB_CTB_Database!$B:$M,12,FALSE)="***",NA(),VLOOKUP(N14,PAB_CTB_Database!$B:$M,12,FALSE))</f>
        <v>17510122.697264586</v>
      </c>
      <c r="S14" s="32">
        <f>IF(VLOOKUP(N14,PAB_CTB_Database!$B:$N,13,FALSE)="***",NA(),VLOOKUP(N14,PAB_CTB_Database!$B:$N,13,FALSE))</f>
        <v>17105604.2750162</v>
      </c>
      <c r="U14" s="26">
        <f t="shared" si="2"/>
        <v>44957</v>
      </c>
      <c r="V14" s="26" t="str">
        <f t="shared" si="3"/>
        <v>iBoxx MSCI GBP Corporates Paris Aligned Capped TCA Index10</v>
      </c>
      <c r="W14" s="32">
        <f t="shared" si="4"/>
        <v>35918200.404645301</v>
      </c>
      <c r="X14" s="32">
        <f t="shared" si="0"/>
        <v>17105604.2750162</v>
      </c>
      <c r="Y14" s="32">
        <f t="shared" si="5"/>
        <v>17959100.202322651</v>
      </c>
      <c r="Z14" s="32">
        <f t="shared" si="6"/>
        <v>18267052.946332503</v>
      </c>
      <c r="AA14" s="32">
        <f t="shared" si="7"/>
        <v>17510122.697264586</v>
      </c>
      <c r="AL14" s="42"/>
      <c r="AM14" s="43">
        <v>44834</v>
      </c>
      <c r="AO14" t="s">
        <v>162</v>
      </c>
    </row>
    <row r="15" spans="1:76" x14ac:dyDescent="0.35">
      <c r="A15">
        <v>11</v>
      </c>
      <c r="C15" s="26">
        <f ca="1"/>
        <v>44985</v>
      </c>
      <c r="D15" s="26"/>
      <c r="E15">
        <f ca="1"/>
        <v>35647692.4984475</v>
      </c>
      <c r="F15">
        <f ca="1"/>
        <v>17378250.092993155</v>
      </c>
      <c r="G15">
        <f ca="1"/>
        <v>17002469.317184899</v>
      </c>
      <c r="M15" s="26">
        <f>'II. EU CTB &amp; PAB Report'!C38</f>
        <v>44985</v>
      </c>
      <c r="N15" s="26" t="str">
        <f>'II. EU CTB &amp; PAB Report'!$F$10&amp;REF!A15</f>
        <v>iBoxx MSCI GBP Corporates Paris Aligned Capped TCA Index11</v>
      </c>
      <c r="O15" s="32">
        <f>IF(VLOOKUP(N15,PAB_CTB_Database!$B:$I,8,FALSE)="***",NA(),VLOOKUP(N15,PAB_CTB_Database!$B:$I,8,FALSE))</f>
        <v>35647692.4984475</v>
      </c>
      <c r="P15" s="32">
        <f>IF(VLOOKUP(N15,PAB_CTB_Database!$B:$J,9,FALSE)="***",NA(),VLOOKUP(N15,PAB_CTB_Database!$B:$J,9,FALSE))</f>
        <v>17823846.24922375</v>
      </c>
      <c r="Q15" s="32">
        <f>IF(VLOOKUP(N15,PAB_CTB_Database!$B:$K,10,FALSE)="***",NA(),VLOOKUP(N15,PAB_CTB_Database!$B:$K,10,FALSE))</f>
        <v>18156915.256658811</v>
      </c>
      <c r="R15" s="32">
        <f>IF(VLOOKUP(N15,PAB_CTB_Database!$B:$M,12,FALSE)="***",NA(),VLOOKUP(N15,PAB_CTB_Database!$B:$M,12,FALSE))</f>
        <v>17378250.092993155</v>
      </c>
      <c r="S15" s="32">
        <f>IF(VLOOKUP(N15,PAB_CTB_Database!$B:$N,13,FALSE)="***",NA(),VLOOKUP(N15,PAB_CTB_Database!$B:$N,13,FALSE))</f>
        <v>17002469.317184899</v>
      </c>
      <c r="U15" s="26">
        <f t="shared" si="2"/>
        <v>44985</v>
      </c>
      <c r="V15" s="26" t="str">
        <f t="shared" si="3"/>
        <v>iBoxx MSCI GBP Corporates Paris Aligned Capped TCA Index11</v>
      </c>
      <c r="W15" s="32">
        <f t="shared" si="4"/>
        <v>35647692.4984475</v>
      </c>
      <c r="X15" s="32">
        <f t="shared" si="0"/>
        <v>17002469.317184899</v>
      </c>
      <c r="Y15" s="32">
        <f t="shared" si="5"/>
        <v>17823846.24922375</v>
      </c>
      <c r="Z15" s="32">
        <f t="shared" si="6"/>
        <v>18156915.256658811</v>
      </c>
      <c r="AA15" s="32">
        <f t="shared" si="7"/>
        <v>17378250.092993155</v>
      </c>
      <c r="AL15" s="42"/>
      <c r="AM15" s="43">
        <v>44925</v>
      </c>
      <c r="AO15" t="s">
        <v>164</v>
      </c>
    </row>
    <row r="16" spans="1:76" x14ac:dyDescent="0.35">
      <c r="A16">
        <v>12</v>
      </c>
      <c r="C16" s="26">
        <f ca="1"/>
        <v>45016</v>
      </c>
      <c r="D16" s="26"/>
      <c r="E16">
        <f ca="1"/>
        <v>36739599.914886199</v>
      </c>
      <c r="F16">
        <f ca="1"/>
        <v>17596255.580519706</v>
      </c>
      <c r="G16">
        <f ca="1"/>
        <v>16899956.191785801</v>
      </c>
      <c r="M16" s="26">
        <f>'II. EU CTB &amp; PAB Report'!C39</f>
        <v>45016</v>
      </c>
      <c r="N16" s="26" t="str">
        <f>'II. EU CTB &amp; PAB Report'!$F$10&amp;REF!A16</f>
        <v>iBoxx MSCI GBP Corporates Paris Aligned Capped TCA Index12</v>
      </c>
      <c r="O16" s="32">
        <f>IF(VLOOKUP(N16,PAB_CTB_Database!$B:$I,8,FALSE)="***",NA(),VLOOKUP(N16,PAB_CTB_Database!$B:$I,8,FALSE))</f>
        <v>36739599.914886199</v>
      </c>
      <c r="P16" s="32">
        <f>IF(VLOOKUP(N16,PAB_CTB_Database!$B:$J,9,FALSE)="***",NA(),VLOOKUP(N16,PAB_CTB_Database!$B:$J,9,FALSE))</f>
        <v>18369799.957443099</v>
      </c>
      <c r="Q16" s="32">
        <f>IF(VLOOKUP(N16,PAB_CTB_Database!$B:$K,10,FALSE)="***",NA(),VLOOKUP(N16,PAB_CTB_Database!$B:$K,10,FALSE))</f>
        <v>18047441.621045854</v>
      </c>
      <c r="R16" s="32">
        <f>IF(VLOOKUP(N16,PAB_CTB_Database!$B:$M,12,FALSE)="***",NA(),VLOOKUP(N16,PAB_CTB_Database!$B:$M,12,FALSE))</f>
        <v>17596255.580519706</v>
      </c>
      <c r="S16" s="32">
        <f>IF(VLOOKUP(N16,PAB_CTB_Database!$B:$N,13,FALSE)="***",NA(),VLOOKUP(N16,PAB_CTB_Database!$B:$N,13,FALSE))</f>
        <v>16899956.191785801</v>
      </c>
      <c r="U16" s="26">
        <f t="shared" si="2"/>
        <v>45016</v>
      </c>
      <c r="V16" s="26" t="str">
        <f t="shared" si="3"/>
        <v>iBoxx MSCI GBP Corporates Paris Aligned Capped TCA Index12</v>
      </c>
      <c r="W16" s="32">
        <f t="shared" si="4"/>
        <v>36739599.914886199</v>
      </c>
      <c r="X16" s="32">
        <f t="shared" si="0"/>
        <v>16899956.191785801</v>
      </c>
      <c r="Y16" s="32">
        <f t="shared" si="5"/>
        <v>18369799.957443099</v>
      </c>
      <c r="Z16" s="32">
        <f t="shared" si="6"/>
        <v>18047441.621045854</v>
      </c>
      <c r="AA16" s="32">
        <f t="shared" si="7"/>
        <v>17596255.580519706</v>
      </c>
      <c r="AL16" s="42"/>
      <c r="AM16" s="43">
        <v>45016</v>
      </c>
      <c r="AO16" t="s">
        <v>166</v>
      </c>
    </row>
    <row r="17" spans="1:41" x14ac:dyDescent="0.35">
      <c r="A17">
        <v>13</v>
      </c>
      <c r="C17" s="26">
        <f ca="1"/>
        <v>45046</v>
      </c>
      <c r="D17" s="26"/>
      <c r="E17">
        <f ca="1"/>
        <v>41988438.821379602</v>
      </c>
      <c r="F17">
        <f ca="1"/>
        <v>17490162.334814448</v>
      </c>
      <c r="G17">
        <f ca="1"/>
        <v>16798061.1495995</v>
      </c>
      <c r="M17" s="26">
        <f>'II. EU CTB &amp; PAB Report'!C40</f>
        <v>45046</v>
      </c>
      <c r="N17" s="26" t="str">
        <f>'II. EU CTB &amp; PAB Report'!$F$10&amp;REF!A17</f>
        <v>iBoxx MSCI GBP Corporates Paris Aligned Capped TCA Index13</v>
      </c>
      <c r="O17" s="32">
        <f>IF(VLOOKUP(N17,PAB_CTB_Database!$B:$I,8,FALSE)="***",NA(),VLOOKUP(N17,PAB_CTB_Database!$B:$I,8,FALSE))</f>
        <v>41988438.821379602</v>
      </c>
      <c r="P17" s="32">
        <f>IF(VLOOKUP(N17,PAB_CTB_Database!$B:$J,9,FALSE)="***",NA(),VLOOKUP(N17,PAB_CTB_Database!$B:$J,9,FALSE))</f>
        <v>20994219.410689801</v>
      </c>
      <c r="Q17" s="32">
        <f>IF(VLOOKUP(N17,PAB_CTB_Database!$B:$K,10,FALSE)="***",NA(),VLOOKUP(N17,PAB_CTB_Database!$B:$K,10,FALSE))</f>
        <v>17938628.035707127</v>
      </c>
      <c r="R17" s="32">
        <f>IF(VLOOKUP(N17,PAB_CTB_Database!$B:$M,12,FALSE)="***",NA(),VLOOKUP(N17,PAB_CTB_Database!$B:$M,12,FALSE))</f>
        <v>17490162.334814448</v>
      </c>
      <c r="S17" s="32">
        <f>IF(VLOOKUP(N17,PAB_CTB_Database!$B:$N,13,FALSE)="***",NA(),VLOOKUP(N17,PAB_CTB_Database!$B:$N,13,FALSE))</f>
        <v>16798061.1495995</v>
      </c>
      <c r="U17" s="26">
        <f t="shared" si="2"/>
        <v>45046</v>
      </c>
      <c r="V17" s="26" t="str">
        <f t="shared" si="3"/>
        <v>iBoxx MSCI GBP Corporates Paris Aligned Capped TCA Index13</v>
      </c>
      <c r="W17" s="32">
        <f t="shared" si="4"/>
        <v>41988438.821379602</v>
      </c>
      <c r="X17" s="32">
        <f t="shared" si="0"/>
        <v>16798061.1495995</v>
      </c>
      <c r="Y17" s="32">
        <f t="shared" si="5"/>
        <v>20994219.410689801</v>
      </c>
      <c r="Z17" s="32">
        <f t="shared" si="6"/>
        <v>17938628.035707127</v>
      </c>
      <c r="AA17" s="32">
        <f t="shared" si="7"/>
        <v>17490162.334814448</v>
      </c>
      <c r="AL17" s="42"/>
      <c r="AM17" s="43">
        <v>45107</v>
      </c>
      <c r="AO17" t="s">
        <v>168</v>
      </c>
    </row>
    <row r="18" spans="1:41" x14ac:dyDescent="0.35">
      <c r="A18">
        <v>14</v>
      </c>
      <c r="C18" s="26">
        <f ca="1"/>
        <v>45077</v>
      </c>
      <c r="D18" s="26"/>
      <c r="E18">
        <f ca="1"/>
        <v>40140010.051858097</v>
      </c>
      <c r="F18">
        <f ca="1"/>
        <v>17384708.757971287</v>
      </c>
      <c r="G18">
        <f ca="1"/>
        <v>16696780.4640161</v>
      </c>
      <c r="M18" s="26">
        <f>'II. EU CTB &amp; PAB Report'!C41</f>
        <v>45077</v>
      </c>
      <c r="N18" s="26" t="str">
        <f>'II. EU CTB &amp; PAB Report'!$F$10&amp;REF!A18</f>
        <v>iBoxx MSCI GBP Corporates Paris Aligned Capped TCA Index14</v>
      </c>
      <c r="O18" s="32">
        <f>IF(VLOOKUP(N18,PAB_CTB_Database!$B:$I,8,FALSE)="***",NA(),VLOOKUP(N18,PAB_CTB_Database!$B:$I,8,FALSE))</f>
        <v>40140010.051858097</v>
      </c>
      <c r="P18" s="32">
        <f>IF(VLOOKUP(N18,PAB_CTB_Database!$B:$J,9,FALSE)="***",NA(),VLOOKUP(N18,PAB_CTB_Database!$B:$J,9,FALSE))</f>
        <v>20070005.025929049</v>
      </c>
      <c r="Q18" s="32">
        <f>IF(VLOOKUP(N18,PAB_CTB_Database!$B:$K,10,FALSE)="***",NA(),VLOOKUP(N18,PAB_CTB_Database!$B:$K,10,FALSE))</f>
        <v>17830470.520996191</v>
      </c>
      <c r="R18" s="32">
        <f>IF(VLOOKUP(N18,PAB_CTB_Database!$B:$M,12,FALSE)="***",NA(),VLOOKUP(N18,PAB_CTB_Database!$B:$M,12,FALSE))</f>
        <v>17384708.757971287</v>
      </c>
      <c r="S18" s="32">
        <f>IF(VLOOKUP(N18,PAB_CTB_Database!$B:$N,13,FALSE)="***",NA(),VLOOKUP(N18,PAB_CTB_Database!$B:$N,13,FALSE))</f>
        <v>16696780.4640161</v>
      </c>
      <c r="U18" s="26">
        <f t="shared" si="2"/>
        <v>45077</v>
      </c>
      <c r="V18" s="26" t="str">
        <f t="shared" si="3"/>
        <v>iBoxx MSCI GBP Corporates Paris Aligned Capped TCA Index14</v>
      </c>
      <c r="W18" s="32">
        <f t="shared" si="4"/>
        <v>40140010.051858097</v>
      </c>
      <c r="X18" s="32">
        <f t="shared" si="0"/>
        <v>16696780.4640161</v>
      </c>
      <c r="Y18" s="32">
        <f t="shared" si="5"/>
        <v>20070005.025929049</v>
      </c>
      <c r="Z18" s="32">
        <f t="shared" si="6"/>
        <v>17830470.520996191</v>
      </c>
      <c r="AA18" s="32">
        <f t="shared" si="7"/>
        <v>17384708.757971287</v>
      </c>
      <c r="AL18" s="42"/>
      <c r="AM18" s="43">
        <v>45184</v>
      </c>
      <c r="AO18" t="s">
        <v>170</v>
      </c>
    </row>
    <row r="19" spans="1:41" x14ac:dyDescent="0.35">
      <c r="A19">
        <v>15</v>
      </c>
      <c r="C19" s="26">
        <f ca="1"/>
        <v>45107</v>
      </c>
      <c r="D19" s="26"/>
      <c r="E19">
        <f ca="1"/>
        <v>41824094.096284002</v>
      </c>
      <c r="F19">
        <f ca="1"/>
        <v>17279890.993229579</v>
      </c>
      <c r="G19">
        <f ca="1"/>
        <v>16596110.430885701</v>
      </c>
      <c r="M19" s="26">
        <f>'II. EU CTB &amp; PAB Report'!C42</f>
        <v>45107</v>
      </c>
      <c r="N19" s="26" t="str">
        <f>'II. EU CTB &amp; PAB Report'!$F$10&amp;REF!A19</f>
        <v>iBoxx MSCI GBP Corporates Paris Aligned Capped TCA Index15</v>
      </c>
      <c r="O19" s="32">
        <f>IF(VLOOKUP(N19,PAB_CTB_Database!$B:$I,8,FALSE)="***",NA(),VLOOKUP(N19,PAB_CTB_Database!$B:$I,8,FALSE))</f>
        <v>41824094.096284002</v>
      </c>
      <c r="P19" s="32">
        <f>IF(VLOOKUP(N19,PAB_CTB_Database!$B:$J,9,FALSE)="***",NA(),VLOOKUP(N19,PAB_CTB_Database!$B:$J,9,FALSE))</f>
        <v>20912047.048142001</v>
      </c>
      <c r="Q19" s="32">
        <f>IF(VLOOKUP(N19,PAB_CTB_Database!$B:$K,10,FALSE)="***",NA(),VLOOKUP(N19,PAB_CTB_Database!$B:$K,10,FALSE))</f>
        <v>17722965.121261109</v>
      </c>
      <c r="R19" s="32">
        <f>IF(VLOOKUP(N19,PAB_CTB_Database!$B:$M,12,FALSE)="***",NA(),VLOOKUP(N19,PAB_CTB_Database!$B:$M,12,FALSE))</f>
        <v>17279890.993229579</v>
      </c>
      <c r="S19" s="32">
        <f>IF(VLOOKUP(N19,PAB_CTB_Database!$B:$N,13,FALSE)="***",NA(),VLOOKUP(N19,PAB_CTB_Database!$B:$N,13,FALSE))</f>
        <v>16596110.430885701</v>
      </c>
      <c r="U19" s="26">
        <f t="shared" si="2"/>
        <v>45107</v>
      </c>
      <c r="V19" s="26" t="str">
        <f t="shared" si="3"/>
        <v>iBoxx MSCI GBP Corporates Paris Aligned Capped TCA Index15</v>
      </c>
      <c r="W19" s="32">
        <f t="shared" si="4"/>
        <v>41824094.096284002</v>
      </c>
      <c r="X19" s="32">
        <f t="shared" si="0"/>
        <v>16596110.430885701</v>
      </c>
      <c r="Y19" s="32">
        <f t="shared" si="5"/>
        <v>20912047.048142001</v>
      </c>
      <c r="Z19" s="32">
        <f t="shared" si="6"/>
        <v>17722965.121261109</v>
      </c>
      <c r="AA19" s="32">
        <f t="shared" si="7"/>
        <v>17279890.993229579</v>
      </c>
      <c r="AL19" s="42"/>
      <c r="AM19" s="43">
        <v>45275</v>
      </c>
      <c r="AO19" t="s">
        <v>172</v>
      </c>
    </row>
    <row r="20" spans="1:41" x14ac:dyDescent="0.35">
      <c r="A20">
        <v>16</v>
      </c>
      <c r="C20" s="26">
        <f ca="1"/>
        <v>45138</v>
      </c>
      <c r="D20" s="26"/>
      <c r="E20">
        <f ca="1"/>
        <v>39014504.108002499</v>
      </c>
      <c r="F20">
        <f ca="1"/>
        <v>17175705.207082305</v>
      </c>
      <c r="G20">
        <f ca="1"/>
        <v>16496047.3683926</v>
      </c>
      <c r="M20" s="26">
        <f>'II. EU CTB &amp; PAB Report'!C43</f>
        <v>45138</v>
      </c>
      <c r="N20" s="26" t="str">
        <f>'II. EU CTB &amp; PAB Report'!$F$10&amp;REF!A20</f>
        <v>iBoxx MSCI GBP Corporates Paris Aligned Capped TCA Index16</v>
      </c>
      <c r="O20" s="32">
        <f>IF(VLOOKUP(N20,PAB_CTB_Database!$B:$I,8,FALSE)="***",NA(),VLOOKUP(N20,PAB_CTB_Database!$B:$I,8,FALSE))</f>
        <v>39014504.108002499</v>
      </c>
      <c r="P20" s="32">
        <f>IF(VLOOKUP(N20,PAB_CTB_Database!$B:$J,9,FALSE)="***",NA(),VLOOKUP(N20,PAB_CTB_Database!$B:$J,9,FALSE))</f>
        <v>19507252.054001249</v>
      </c>
      <c r="Q20" s="32">
        <f>IF(VLOOKUP(N20,PAB_CTB_Database!$B:$K,10,FALSE)="***",NA(),VLOOKUP(N20,PAB_CTB_Database!$B:$K,10,FALSE))</f>
        <v>17616107.904699802</v>
      </c>
      <c r="R20" s="32">
        <f>IF(VLOOKUP(N20,PAB_CTB_Database!$B:$M,12,FALSE)="***",NA(),VLOOKUP(N20,PAB_CTB_Database!$B:$M,12,FALSE))</f>
        <v>17175705.207082305</v>
      </c>
      <c r="S20" s="32">
        <f>IF(VLOOKUP(N20,PAB_CTB_Database!$B:$N,13,FALSE)="***",NA(),VLOOKUP(N20,PAB_CTB_Database!$B:$N,13,FALSE))</f>
        <v>16496047.3683926</v>
      </c>
      <c r="U20" s="26">
        <f t="shared" si="2"/>
        <v>45138</v>
      </c>
      <c r="V20" s="26" t="str">
        <f t="shared" si="3"/>
        <v>iBoxx MSCI GBP Corporates Paris Aligned Capped TCA Index16</v>
      </c>
      <c r="W20" s="32">
        <f t="shared" si="4"/>
        <v>39014504.108002499</v>
      </c>
      <c r="X20" s="32">
        <f t="shared" si="0"/>
        <v>16496047.3683926</v>
      </c>
      <c r="Y20" s="32">
        <f t="shared" si="5"/>
        <v>19507252.054001249</v>
      </c>
      <c r="Z20" s="32">
        <f t="shared" si="6"/>
        <v>17616107.904699802</v>
      </c>
      <c r="AA20" s="32">
        <f t="shared" si="7"/>
        <v>17175705.207082305</v>
      </c>
      <c r="AL20" s="42"/>
      <c r="AM20" s="43">
        <v>45366</v>
      </c>
      <c r="AO20" t="s">
        <v>174</v>
      </c>
    </row>
    <row r="21" spans="1:41" x14ac:dyDescent="0.35">
      <c r="A21">
        <v>17</v>
      </c>
      <c r="C21" s="26">
        <f ca="1"/>
        <v>45169</v>
      </c>
      <c r="D21" s="26"/>
      <c r="E21">
        <f ca="1"/>
        <v>38733688.212963499</v>
      </c>
      <c r="F21">
        <f ca="1"/>
        <v>17072147.589135829</v>
      </c>
      <c r="G21">
        <f ca="1"/>
        <v>16396587.616943199</v>
      </c>
      <c r="M21" s="26">
        <f>'II. EU CTB &amp; PAB Report'!C44</f>
        <v>45169</v>
      </c>
      <c r="N21" s="26" t="str">
        <f>'II. EU CTB &amp; PAB Report'!$F$10&amp;REF!A21</f>
        <v>iBoxx MSCI GBP Corporates Paris Aligned Capped TCA Index17</v>
      </c>
      <c r="O21" s="32">
        <f>IF(VLOOKUP(N21,PAB_CTB_Database!$B:$I,8,FALSE)="***",NA(),VLOOKUP(N21,PAB_CTB_Database!$B:$I,8,FALSE))</f>
        <v>38733688.212963499</v>
      </c>
      <c r="P21" s="32">
        <f>IF(VLOOKUP(N21,PAB_CTB_Database!$B:$J,9,FALSE)="***",NA(),VLOOKUP(N21,PAB_CTB_Database!$B:$J,9,FALSE))</f>
        <v>19366844.10648175</v>
      </c>
      <c r="Q21" s="32">
        <f>IF(VLOOKUP(N21,PAB_CTB_Database!$B:$K,10,FALSE)="***",NA(),VLOOKUP(N21,PAB_CTB_Database!$B:$K,10,FALSE))</f>
        <v>17509894.963216234</v>
      </c>
      <c r="R21" s="32">
        <f>IF(VLOOKUP(N21,PAB_CTB_Database!$B:$M,12,FALSE)="***",NA(),VLOOKUP(N21,PAB_CTB_Database!$B:$M,12,FALSE))</f>
        <v>17072147.589135829</v>
      </c>
      <c r="S21" s="32">
        <f>IF(VLOOKUP(N21,PAB_CTB_Database!$B:$N,13,FALSE)="***",NA(),VLOOKUP(N21,PAB_CTB_Database!$B:$N,13,FALSE))</f>
        <v>16396587.616943199</v>
      </c>
      <c r="U21" s="26">
        <f t="shared" si="2"/>
        <v>45169</v>
      </c>
      <c r="V21" s="26" t="str">
        <f t="shared" si="3"/>
        <v>iBoxx MSCI GBP Corporates Paris Aligned Capped TCA Index17</v>
      </c>
      <c r="W21" s="32">
        <f t="shared" si="4"/>
        <v>38733688.212963499</v>
      </c>
      <c r="X21" s="32">
        <f t="shared" si="0"/>
        <v>16396587.616943199</v>
      </c>
      <c r="Y21" s="32">
        <f t="shared" si="5"/>
        <v>19366844.10648175</v>
      </c>
      <c r="Z21" s="32">
        <f t="shared" si="6"/>
        <v>17509894.963216234</v>
      </c>
      <c r="AA21" s="32">
        <f t="shared" si="7"/>
        <v>17072147.589135829</v>
      </c>
      <c r="AL21" s="42"/>
      <c r="AM21" s="43">
        <v>45464</v>
      </c>
      <c r="AO21" t="s">
        <v>176</v>
      </c>
    </row>
    <row r="22" spans="1:41" x14ac:dyDescent="0.35">
      <c r="A22">
        <v>18</v>
      </c>
      <c r="C22" s="26">
        <f ca="1"/>
        <v>45199</v>
      </c>
      <c r="D22" s="26"/>
      <c r="E22">
        <f ca="1"/>
        <v>37920655.649989299</v>
      </c>
      <c r="F22">
        <f ca="1"/>
        <v>16969214.351970542</v>
      </c>
      <c r="G22">
        <f ca="1"/>
        <v>16297727.5389667</v>
      </c>
      <c r="M22" s="26">
        <f>'II. EU CTB &amp; PAB Report'!C45</f>
        <v>45199</v>
      </c>
      <c r="N22" s="26" t="str">
        <f>'II. EU CTB &amp; PAB Report'!$F$10&amp;REF!A22</f>
        <v>iBoxx MSCI GBP Corporates Paris Aligned Capped TCA Index18</v>
      </c>
      <c r="O22" s="32">
        <f>IF(VLOOKUP(N22,PAB_CTB_Database!$B:$I,8,FALSE)="***",NA(),VLOOKUP(N22,PAB_CTB_Database!$B:$I,8,FALSE))</f>
        <v>37920655.649989299</v>
      </c>
      <c r="P22" s="32">
        <f>IF(VLOOKUP(N22,PAB_CTB_Database!$B:$J,9,FALSE)="***",NA(),VLOOKUP(N22,PAB_CTB_Database!$B:$J,9,FALSE))</f>
        <v>18960327.82499465</v>
      </c>
      <c r="Q22" s="32">
        <f>IF(VLOOKUP(N22,PAB_CTB_Database!$B:$K,10,FALSE)="***",NA(),VLOOKUP(N22,PAB_CTB_Database!$B:$K,10,FALSE))</f>
        <v>17404322.412277479</v>
      </c>
      <c r="R22" s="32">
        <f>IF(VLOOKUP(N22,PAB_CTB_Database!$B:$M,12,FALSE)="***",NA(),VLOOKUP(N22,PAB_CTB_Database!$B:$M,12,FALSE))</f>
        <v>16969214.351970542</v>
      </c>
      <c r="S22" s="32">
        <f>IF(VLOOKUP(N22,PAB_CTB_Database!$B:$N,13,FALSE)="***",NA(),VLOOKUP(N22,PAB_CTB_Database!$B:$N,13,FALSE))</f>
        <v>16297727.5389667</v>
      </c>
      <c r="U22" s="26">
        <f t="shared" si="2"/>
        <v>45199</v>
      </c>
      <c r="V22" s="26" t="str">
        <f t="shared" si="3"/>
        <v>iBoxx MSCI GBP Corporates Paris Aligned Capped TCA Index18</v>
      </c>
      <c r="W22" s="32">
        <f t="shared" si="4"/>
        <v>37920655.649989299</v>
      </c>
      <c r="X22" s="32">
        <f t="shared" si="0"/>
        <v>16297727.5389667</v>
      </c>
      <c r="Y22" s="32">
        <f t="shared" si="5"/>
        <v>18960327.82499465</v>
      </c>
      <c r="Z22" s="32">
        <f t="shared" si="6"/>
        <v>17404322.412277479</v>
      </c>
      <c r="AA22" s="32">
        <f t="shared" si="7"/>
        <v>16969214.351970542</v>
      </c>
      <c r="AL22" s="42"/>
      <c r="AM22" s="43">
        <v>45555</v>
      </c>
      <c r="AO22" t="s">
        <v>178</v>
      </c>
    </row>
    <row r="23" spans="1:41" x14ac:dyDescent="0.35">
      <c r="A23">
        <v>19</v>
      </c>
      <c r="C23" s="26">
        <f ca="1"/>
        <v>45230</v>
      </c>
      <c r="D23" s="26"/>
      <c r="E23">
        <f ca="1"/>
        <v>33970669.8797663</v>
      </c>
      <c r="F23">
        <f ca="1"/>
        <v>16560701.56638607</v>
      </c>
      <c r="G23">
        <f ca="1"/>
        <v>16199463.518856101</v>
      </c>
      <c r="M23" s="26">
        <f>'II. EU CTB &amp; PAB Report'!C46</f>
        <v>45230</v>
      </c>
      <c r="N23" s="26" t="str">
        <f>'II. EU CTB &amp; PAB Report'!$F$10&amp;REF!A23</f>
        <v>iBoxx MSCI GBP Corporates Paris Aligned Capped TCA Index19</v>
      </c>
      <c r="O23" s="32">
        <f>IF(VLOOKUP(N23,PAB_CTB_Database!$B:$I,8,FALSE)="***",NA(),VLOOKUP(N23,PAB_CTB_Database!$B:$I,8,FALSE))</f>
        <v>33970669.8797663</v>
      </c>
      <c r="P23" s="32">
        <f>IF(VLOOKUP(N23,PAB_CTB_Database!$B:$J,9,FALSE)="***",NA(),VLOOKUP(N23,PAB_CTB_Database!$B:$J,9,FALSE))</f>
        <v>16985334.93988315</v>
      </c>
      <c r="Q23" s="32">
        <f>IF(VLOOKUP(N23,PAB_CTB_Database!$B:$K,10,FALSE)="***",NA(),VLOOKUP(N23,PAB_CTB_Database!$B:$K,10,FALSE))</f>
        <v>17299386.390771661</v>
      </c>
      <c r="R23" s="32">
        <f>IF(VLOOKUP(N23,PAB_CTB_Database!$B:$M,12,FALSE)="***",NA(),VLOOKUP(N23,PAB_CTB_Database!$B:$M,12,FALSE))</f>
        <v>16560701.56638607</v>
      </c>
      <c r="S23" s="32">
        <f>IF(VLOOKUP(N23,PAB_CTB_Database!$B:$N,13,FALSE)="***",NA(),VLOOKUP(N23,PAB_CTB_Database!$B:$N,13,FALSE))</f>
        <v>16199463.518856101</v>
      </c>
      <c r="U23" s="26">
        <f t="shared" si="2"/>
        <v>45230</v>
      </c>
      <c r="V23" s="26" t="str">
        <f t="shared" si="3"/>
        <v>iBoxx MSCI GBP Corporates Paris Aligned Capped TCA Index19</v>
      </c>
      <c r="W23" s="32">
        <f t="shared" si="4"/>
        <v>33970669.8797663</v>
      </c>
      <c r="X23" s="32">
        <f t="shared" si="0"/>
        <v>16199463.518856101</v>
      </c>
      <c r="Y23" s="32">
        <f t="shared" si="5"/>
        <v>16985334.93988315</v>
      </c>
      <c r="Z23" s="32">
        <f t="shared" si="6"/>
        <v>17299386.390771661</v>
      </c>
      <c r="AA23" s="32">
        <f t="shared" si="7"/>
        <v>16560701.56638607</v>
      </c>
      <c r="AL23" s="42"/>
      <c r="AO23" t="s">
        <v>180</v>
      </c>
    </row>
    <row r="24" spans="1:41" x14ac:dyDescent="0.35">
      <c r="A24">
        <v>20</v>
      </c>
      <c r="C24" s="26">
        <f ca="1"/>
        <v>45260</v>
      </c>
      <c r="D24" s="26"/>
      <c r="E24">
        <f ca="1"/>
        <v>34413163.203239098</v>
      </c>
      <c r="F24">
        <f ca="1"/>
        <v>16765205.984345067</v>
      </c>
      <c r="G24">
        <f ca="1"/>
        <v>16101791.962794799</v>
      </c>
      <c r="M24" s="26">
        <f>'II. EU CTB &amp; PAB Report'!C47</f>
        <v>45260</v>
      </c>
      <c r="N24" s="26" t="str">
        <f>'II. EU CTB &amp; PAB Report'!$F$10&amp;REF!A24</f>
        <v>iBoxx MSCI GBP Corporates Paris Aligned Capped TCA Index20</v>
      </c>
      <c r="O24" s="32">
        <f>IF(VLOOKUP(N24,PAB_CTB_Database!$B:$I,8,FALSE)="***",NA(),VLOOKUP(N24,PAB_CTB_Database!$B:$I,8,FALSE))</f>
        <v>34413163.203239098</v>
      </c>
      <c r="P24" s="32">
        <f>IF(VLOOKUP(N24,PAB_CTB_Database!$B:$J,9,FALSE)="***",NA(),VLOOKUP(N24,PAB_CTB_Database!$B:$J,9,FALSE))</f>
        <v>17206581.601619549</v>
      </c>
      <c r="Q24" s="32">
        <f>IF(VLOOKUP(N24,PAB_CTB_Database!$B:$K,10,FALSE)="***",NA(),VLOOKUP(N24,PAB_CTB_Database!$B:$K,10,FALSE))</f>
        <v>17195083.060866736</v>
      </c>
      <c r="R24" s="32">
        <f>IF(VLOOKUP(N24,PAB_CTB_Database!$B:$M,12,FALSE)="***",NA(),VLOOKUP(N24,PAB_CTB_Database!$B:$M,12,FALSE))</f>
        <v>16765205.984345067</v>
      </c>
      <c r="S24" s="32">
        <f>IF(VLOOKUP(N24,PAB_CTB_Database!$B:$N,13,FALSE)="***",NA(),VLOOKUP(N24,PAB_CTB_Database!$B:$N,13,FALSE))</f>
        <v>16101791.962794799</v>
      </c>
      <c r="U24" s="26">
        <f t="shared" si="2"/>
        <v>45260</v>
      </c>
      <c r="V24" s="26" t="str">
        <f t="shared" si="3"/>
        <v>iBoxx MSCI GBP Corporates Paris Aligned Capped TCA Index20</v>
      </c>
      <c r="W24" s="32">
        <f t="shared" si="4"/>
        <v>34413163.203239098</v>
      </c>
      <c r="X24" s="32">
        <f t="shared" si="0"/>
        <v>16101791.962794799</v>
      </c>
      <c r="Y24" s="32">
        <f t="shared" si="5"/>
        <v>17206581.601619549</v>
      </c>
      <c r="Z24" s="32">
        <f t="shared" si="6"/>
        <v>17195083.060866736</v>
      </c>
      <c r="AA24" s="32">
        <f t="shared" si="7"/>
        <v>16765205.984345067</v>
      </c>
      <c r="AL24" s="42"/>
      <c r="AO24" t="s">
        <v>182</v>
      </c>
    </row>
    <row r="25" spans="1:41" x14ac:dyDescent="0.35">
      <c r="A25">
        <v>21</v>
      </c>
      <c r="C25" s="26">
        <f ca="1"/>
        <v>45291</v>
      </c>
      <c r="D25" s="26"/>
      <c r="E25">
        <f ca="1"/>
        <v>34137345.0898332</v>
      </c>
      <c r="F25">
        <f ca="1"/>
        <v>16641955.731293684</v>
      </c>
      <c r="G25">
        <f ca="1"/>
        <v>16002964.2930847</v>
      </c>
      <c r="M25" s="26">
        <f>'II. EU CTB &amp; PAB Report'!C48</f>
        <v>45291</v>
      </c>
      <c r="N25" s="26" t="str">
        <f>'II. EU CTB &amp; PAB Report'!$F$10&amp;REF!A25</f>
        <v>iBoxx MSCI GBP Corporates Paris Aligned Capped TCA Index21</v>
      </c>
      <c r="O25" s="32">
        <f>IF(VLOOKUP(N25,PAB_CTB_Database!$B:$I,8,FALSE)="***",NA(),VLOOKUP(N25,PAB_CTB_Database!$B:$I,8,FALSE))</f>
        <v>34137345.0898332</v>
      </c>
      <c r="P25" s="32">
        <f>IF(VLOOKUP(N25,PAB_CTB_Database!$B:$J,9,FALSE)="***",NA(),VLOOKUP(N25,PAB_CTB_Database!$B:$J,9,FALSE))</f>
        <v>17068672.5449166</v>
      </c>
      <c r="Q25" s="32">
        <f>IF(VLOOKUP(N25,PAB_CTB_Database!$B:$K,10,FALSE)="***",NA(),VLOOKUP(N25,PAB_CTB_Database!$B:$K,10,FALSE))</f>
        <v>17091408.607870132</v>
      </c>
      <c r="R25" s="32">
        <f>IF(VLOOKUP(N25,PAB_CTB_Database!$B:$M,12,FALSE)="***",NA(),VLOOKUP(N25,PAB_CTB_Database!$B:$M,12,FALSE))</f>
        <v>16641955.731293684</v>
      </c>
      <c r="S25" s="32">
        <f>IF(VLOOKUP(N25,PAB_CTB_Database!$B:$N,13,FALSE)="***",NA(),VLOOKUP(N25,PAB_CTB_Database!$B:$N,13,FALSE))</f>
        <v>16002964.2930847</v>
      </c>
      <c r="U25" s="26">
        <f t="shared" si="2"/>
        <v>45291</v>
      </c>
      <c r="V25" s="26" t="str">
        <f t="shared" si="3"/>
        <v>iBoxx MSCI GBP Corporates Paris Aligned Capped TCA Index21</v>
      </c>
      <c r="W25" s="32">
        <f t="shared" si="4"/>
        <v>34137345.0898332</v>
      </c>
      <c r="X25" s="32">
        <f t="shared" si="0"/>
        <v>16002964.2930847</v>
      </c>
      <c r="Y25" s="32">
        <f t="shared" si="5"/>
        <v>17068672.5449166</v>
      </c>
      <c r="Z25" s="32">
        <f t="shared" si="6"/>
        <v>17091408.607870132</v>
      </c>
      <c r="AA25" s="32">
        <f t="shared" si="7"/>
        <v>16641955.731293684</v>
      </c>
      <c r="AL25" s="42"/>
      <c r="AM25" s="43"/>
      <c r="AO25" t="s">
        <v>184</v>
      </c>
    </row>
    <row r="26" spans="1:41" x14ac:dyDescent="0.35">
      <c r="A26">
        <v>22</v>
      </c>
      <c r="C26" s="26">
        <f ca="1"/>
        <v>45322</v>
      </c>
      <c r="D26" s="26"/>
      <c r="E26">
        <f ca="1"/>
        <v>33522821</v>
      </c>
      <c r="F26">
        <f ca="1"/>
        <v>16342375.237499999</v>
      </c>
      <c r="G26">
        <f ca="1"/>
        <v>15908212</v>
      </c>
      <c r="M26" s="26">
        <f>'II. EU CTB &amp; PAB Report'!C49</f>
        <v>45322</v>
      </c>
      <c r="N26" s="26" t="str">
        <f>'II. EU CTB &amp; PAB Report'!$F$10&amp;REF!A26</f>
        <v>iBoxx MSCI GBP Corporates Paris Aligned Capped TCA Index22</v>
      </c>
      <c r="O26" s="32">
        <f>IF(VLOOKUP(N26,PAB_CTB_Database!$B:$I,8,FALSE)="***",NA(),VLOOKUP(N26,PAB_CTB_Database!$B:$I,8,FALSE))</f>
        <v>33522821</v>
      </c>
      <c r="P26" s="32">
        <f>IF(VLOOKUP(N26,PAB_CTB_Database!$B:$J,9,FALSE)="***",NA(),VLOOKUP(N26,PAB_CTB_Database!$B:$J,9,FALSE))</f>
        <v>16761410.5</v>
      </c>
      <c r="Q26" s="32">
        <f>IF(VLOOKUP(N26,PAB_CTB_Database!$B:$K,10,FALSE)="***",NA(),VLOOKUP(N26,PAB_CTB_Database!$B:$K,10,FALSE))</f>
        <v>16988359.24008923</v>
      </c>
      <c r="R26" s="32">
        <f>IF(VLOOKUP(N26,PAB_CTB_Database!$B:$M,12,FALSE)="***",NA(),VLOOKUP(N26,PAB_CTB_Database!$B:$M,12,FALSE))</f>
        <v>16342375.237499999</v>
      </c>
      <c r="S26" s="32">
        <f>IF(VLOOKUP(N26,PAB_CTB_Database!$B:$N,13,FALSE)="***",NA(),VLOOKUP(N26,PAB_CTB_Database!$B:$N,13,FALSE))</f>
        <v>15908212</v>
      </c>
      <c r="U26" s="26">
        <f t="shared" si="2"/>
        <v>45322</v>
      </c>
      <c r="V26" s="26" t="str">
        <f t="shared" si="3"/>
        <v>iBoxx MSCI GBP Corporates Paris Aligned Capped TCA Index22</v>
      </c>
      <c r="W26" s="32">
        <f t="shared" si="4"/>
        <v>33522821</v>
      </c>
      <c r="X26" s="32">
        <f t="shared" si="0"/>
        <v>15908212</v>
      </c>
      <c r="Y26" s="32">
        <f t="shared" si="5"/>
        <v>16761410.5</v>
      </c>
      <c r="Z26" s="32">
        <f t="shared" si="6"/>
        <v>16988359.24008923</v>
      </c>
      <c r="AA26" s="32">
        <f t="shared" si="7"/>
        <v>16342375.237499999</v>
      </c>
      <c r="AL26" s="42"/>
      <c r="AM26" s="43"/>
      <c r="AO26" t="s">
        <v>186</v>
      </c>
    </row>
    <row r="27" spans="1:41" x14ac:dyDescent="0.35">
      <c r="A27">
        <v>23</v>
      </c>
      <c r="C27" s="26">
        <f ca="1"/>
        <v>45350</v>
      </c>
      <c r="D27" s="26"/>
      <c r="E27">
        <f ca="1"/>
        <v>34006422</v>
      </c>
      <c r="F27">
        <f ca="1"/>
        <v>16463782.908975378</v>
      </c>
      <c r="G27">
        <f ca="1"/>
        <v>15812296</v>
      </c>
      <c r="M27" s="26">
        <f>'II. EU CTB &amp; PAB Report'!C50</f>
        <v>45350</v>
      </c>
      <c r="N27" s="26" t="str">
        <f>'II. EU CTB &amp; PAB Report'!$F$10&amp;REF!A27</f>
        <v>iBoxx MSCI GBP Corporates Paris Aligned Capped TCA Index23</v>
      </c>
      <c r="O27" s="32">
        <f>IF(VLOOKUP(N27,PAB_CTB_Database!$B:$I,8,FALSE)="***",NA(),VLOOKUP(N27,PAB_CTB_Database!$B:$I,8,FALSE))</f>
        <v>34006422</v>
      </c>
      <c r="P27" s="32">
        <f>IF(VLOOKUP(N27,PAB_CTB_Database!$B:$J,9,FALSE)="***",NA(),VLOOKUP(N27,PAB_CTB_Database!$B:$J,9,FALSE))</f>
        <v>17003211</v>
      </c>
      <c r="Q27" s="32">
        <f>IF(VLOOKUP(N27,PAB_CTB_Database!$B:$K,10,FALSE)="***",NA(),VLOOKUP(N27,PAB_CTB_Database!$B:$K,10,FALSE))</f>
        <v>16885931.188692696</v>
      </c>
      <c r="R27" s="32">
        <f>IF(VLOOKUP(N27,PAB_CTB_Database!$B:$M,12,FALSE)="***",NA(),VLOOKUP(N27,PAB_CTB_Database!$B:$M,12,FALSE))</f>
        <v>16463782.908975378</v>
      </c>
      <c r="S27" s="32">
        <f>IF(VLOOKUP(N27,PAB_CTB_Database!$B:$N,13,FALSE)="***",NA(),VLOOKUP(N27,PAB_CTB_Database!$B:$N,13,FALSE))</f>
        <v>15812296</v>
      </c>
      <c r="U27" s="26">
        <f t="shared" si="2"/>
        <v>45350</v>
      </c>
      <c r="V27" s="26" t="str">
        <f t="shared" si="3"/>
        <v>iBoxx MSCI GBP Corporates Paris Aligned Capped TCA Index23</v>
      </c>
      <c r="W27" s="32">
        <f t="shared" si="4"/>
        <v>34006422</v>
      </c>
      <c r="X27" s="32">
        <f t="shared" si="0"/>
        <v>15812296</v>
      </c>
      <c r="Y27" s="32">
        <f t="shared" si="5"/>
        <v>17003211</v>
      </c>
      <c r="Z27" s="32">
        <f t="shared" si="6"/>
        <v>16885931.188692696</v>
      </c>
      <c r="AA27" s="32">
        <f t="shared" si="7"/>
        <v>16463782.908975378</v>
      </c>
      <c r="AL27" s="42"/>
      <c r="AM27" s="43"/>
      <c r="AO27" t="s">
        <v>188</v>
      </c>
    </row>
    <row r="28" spans="1:41" x14ac:dyDescent="0.35">
      <c r="A28">
        <v>24</v>
      </c>
      <c r="C28" s="26">
        <f ca="1"/>
        <v>45382</v>
      </c>
      <c r="D28" s="26"/>
      <c r="E28">
        <f ca="1"/>
        <v>33461530</v>
      </c>
      <c r="F28">
        <f ca="1"/>
        <v>16312495.875</v>
      </c>
      <c r="G28">
        <f ca="1"/>
        <v>15715246</v>
      </c>
      <c r="M28" s="26">
        <f>'II. EU CTB &amp; PAB Report'!C51</f>
        <v>45382</v>
      </c>
      <c r="N28" s="26" t="str">
        <f>'II. EU CTB &amp; PAB Report'!$F$10&amp;REF!A28</f>
        <v>iBoxx MSCI GBP Corporates Paris Aligned Capped TCA Index24</v>
      </c>
      <c r="O28" s="32">
        <f>IF(VLOOKUP(N28,PAB_CTB_Database!$B:$I,8,FALSE)="***",NA(),VLOOKUP(N28,PAB_CTB_Database!$B:$I,8,FALSE))</f>
        <v>33461530</v>
      </c>
      <c r="P28" s="32">
        <f>IF(VLOOKUP(N28,PAB_CTB_Database!$B:$J,9,FALSE)="***",NA(),VLOOKUP(N28,PAB_CTB_Database!$B:$J,9,FALSE))</f>
        <v>16730765</v>
      </c>
      <c r="Q28" s="32">
        <f>IF(VLOOKUP(N28,PAB_CTB_Database!$B:$K,10,FALSE)="***",NA(),VLOOKUP(N28,PAB_CTB_Database!$B:$K,10,FALSE))</f>
        <v>16784120.707572646</v>
      </c>
      <c r="R28" s="32">
        <f>IF(VLOOKUP(N28,PAB_CTB_Database!$B:$M,12,FALSE)="***",NA(),VLOOKUP(N28,PAB_CTB_Database!$B:$M,12,FALSE))</f>
        <v>16312495.875</v>
      </c>
      <c r="S28" s="32">
        <f>IF(VLOOKUP(N28,PAB_CTB_Database!$B:$N,13,FALSE)="***",NA(),VLOOKUP(N28,PAB_CTB_Database!$B:$N,13,FALSE))</f>
        <v>15715246</v>
      </c>
      <c r="U28" s="26">
        <f t="shared" si="2"/>
        <v>45382</v>
      </c>
      <c r="V28" s="26" t="str">
        <f t="shared" si="3"/>
        <v>iBoxx MSCI GBP Corporates Paris Aligned Capped TCA Index24</v>
      </c>
      <c r="W28" s="32">
        <f t="shared" si="4"/>
        <v>33461530</v>
      </c>
      <c r="X28" s="32">
        <f t="shared" si="0"/>
        <v>15715246</v>
      </c>
      <c r="Y28" s="32">
        <f t="shared" si="5"/>
        <v>16730765</v>
      </c>
      <c r="Z28" s="32">
        <f t="shared" si="6"/>
        <v>16784120.707572646</v>
      </c>
      <c r="AA28" s="32">
        <f t="shared" si="7"/>
        <v>16312495.875</v>
      </c>
      <c r="AL28" s="42"/>
      <c r="AM28" s="43"/>
      <c r="AO28" t="s">
        <v>190</v>
      </c>
    </row>
    <row r="29" spans="1:41" x14ac:dyDescent="0.35">
      <c r="A29">
        <v>25</v>
      </c>
      <c r="C29" s="26">
        <f ca="1"/>
        <v>45412</v>
      </c>
      <c r="D29" s="26"/>
      <c r="E29">
        <f ca="1"/>
        <v>32991211</v>
      </c>
      <c r="F29">
        <f ca="1"/>
        <v>16083215.362499999</v>
      </c>
      <c r="G29">
        <f ca="1"/>
        <v>15622197</v>
      </c>
      <c r="M29" s="26">
        <f>'II. EU CTB &amp; PAB Report'!C52</f>
        <v>45412</v>
      </c>
      <c r="N29" s="26" t="str">
        <f>'II. EU CTB &amp; PAB Report'!$F$10&amp;REF!A29</f>
        <v>iBoxx MSCI GBP Corporates Paris Aligned Capped TCA Index25</v>
      </c>
      <c r="O29" s="32">
        <f>IF(VLOOKUP(N29,PAB_CTB_Database!$B:$I,8,FALSE)="***",NA(),VLOOKUP(N29,PAB_CTB_Database!$B:$I,8,FALSE))</f>
        <v>32991211</v>
      </c>
      <c r="P29" s="32">
        <f>IF(VLOOKUP(N29,PAB_CTB_Database!$B:$J,9,FALSE)="***",NA(),VLOOKUP(N29,PAB_CTB_Database!$B:$J,9,FALSE))</f>
        <v>16495605.5</v>
      </c>
      <c r="Q29" s="32">
        <f>IF(VLOOKUP(N29,PAB_CTB_Database!$B:$K,10,FALSE)="***",NA(),VLOOKUP(N29,PAB_CTB_Database!$B:$K,10,FALSE))</f>
        <v>16682924.07320763</v>
      </c>
      <c r="R29" s="32">
        <f>IF(VLOOKUP(N29,PAB_CTB_Database!$B:$M,12,FALSE)="***",NA(),VLOOKUP(N29,PAB_CTB_Database!$B:$M,12,FALSE))</f>
        <v>16083215.362499999</v>
      </c>
      <c r="S29" s="32">
        <f>IF(VLOOKUP(N29,PAB_CTB_Database!$B:$N,13,FALSE)="***",NA(),VLOOKUP(N29,PAB_CTB_Database!$B:$N,13,FALSE))</f>
        <v>15622197</v>
      </c>
      <c r="U29" s="26">
        <f t="shared" si="2"/>
        <v>45412</v>
      </c>
      <c r="V29" s="26" t="str">
        <f t="shared" si="3"/>
        <v>iBoxx MSCI GBP Corporates Paris Aligned Capped TCA Index25</v>
      </c>
      <c r="W29" s="32">
        <f t="shared" si="4"/>
        <v>32991211</v>
      </c>
      <c r="X29" s="32">
        <f t="shared" si="0"/>
        <v>15622197</v>
      </c>
      <c r="Y29" s="32">
        <f t="shared" si="5"/>
        <v>16495605.5</v>
      </c>
      <c r="Z29" s="32">
        <f t="shared" si="6"/>
        <v>16682924.07320763</v>
      </c>
      <c r="AA29" s="32">
        <f t="shared" si="7"/>
        <v>16083215.362499999</v>
      </c>
      <c r="AL29" s="42"/>
      <c r="AM29" s="43"/>
      <c r="AO29" t="s">
        <v>12</v>
      </c>
    </row>
    <row r="30" spans="1:41" x14ac:dyDescent="0.35">
      <c r="A30">
        <v>26</v>
      </c>
      <c r="C30" s="26">
        <f ca="1"/>
        <v>45443</v>
      </c>
      <c r="D30" s="26"/>
      <c r="E30">
        <f ca="1"/>
        <v>36333355</v>
      </c>
      <c r="F30">
        <f ca="1"/>
        <v>16167779.144913295</v>
      </c>
      <c r="G30">
        <f ca="1"/>
        <v>15526313</v>
      </c>
      <c r="M30" s="26">
        <f>'II. EU CTB &amp; PAB Report'!C53</f>
        <v>45443</v>
      </c>
      <c r="N30" s="26" t="str">
        <f>'II. EU CTB &amp; PAB Report'!$F$10&amp;REF!A30</f>
        <v>iBoxx MSCI GBP Corporates Paris Aligned Capped TCA Index26</v>
      </c>
      <c r="O30" s="32">
        <f>IF(VLOOKUP(N30,PAB_CTB_Database!$B:$I,8,FALSE)="***",NA(),VLOOKUP(N30,PAB_CTB_Database!$B:$I,8,FALSE))</f>
        <v>36333355</v>
      </c>
      <c r="P30" s="32">
        <f>IF(VLOOKUP(N30,PAB_CTB_Database!$B:$J,9,FALSE)="***",NA(),VLOOKUP(N30,PAB_CTB_Database!$B:$J,9,FALSE))</f>
        <v>18166677.5</v>
      </c>
      <c r="Q30" s="32">
        <f>IF(VLOOKUP(N30,PAB_CTB_Database!$B:$K,10,FALSE)="***",NA(),VLOOKUP(N30,PAB_CTB_Database!$B:$K,10,FALSE))</f>
        <v>16582337.584526457</v>
      </c>
      <c r="R30" s="32">
        <f>IF(VLOOKUP(N30,PAB_CTB_Database!$B:$M,12,FALSE)="***",NA(),VLOOKUP(N30,PAB_CTB_Database!$B:$M,12,FALSE))</f>
        <v>16167779.144913295</v>
      </c>
      <c r="S30" s="32">
        <f>IF(VLOOKUP(N30,PAB_CTB_Database!$B:$N,13,FALSE)="***",NA(),VLOOKUP(N30,PAB_CTB_Database!$B:$N,13,FALSE))</f>
        <v>15526313</v>
      </c>
      <c r="U30" s="26">
        <f t="shared" si="2"/>
        <v>45443</v>
      </c>
      <c r="V30" s="26" t="str">
        <f t="shared" si="3"/>
        <v>iBoxx MSCI GBP Corporates Paris Aligned Capped TCA Index26</v>
      </c>
      <c r="W30" s="32">
        <f t="shared" si="4"/>
        <v>36333355</v>
      </c>
      <c r="X30" s="32">
        <f t="shared" si="0"/>
        <v>15526313</v>
      </c>
      <c r="Y30" s="32">
        <f t="shared" si="5"/>
        <v>18166677.5</v>
      </c>
      <c r="Z30" s="32">
        <f t="shared" si="6"/>
        <v>16582337.584526457</v>
      </c>
      <c r="AA30" s="32">
        <f t="shared" si="7"/>
        <v>16167779.144913295</v>
      </c>
      <c r="AL30" s="42"/>
      <c r="AM30" s="43"/>
      <c r="AO30" t="s">
        <v>192</v>
      </c>
    </row>
    <row r="31" spans="1:41" x14ac:dyDescent="0.35">
      <c r="A31">
        <v>27</v>
      </c>
      <c r="C31" s="26">
        <f ca="1"/>
        <v>45473</v>
      </c>
      <c r="D31" s="26"/>
      <c r="E31">
        <f ca="1"/>
        <v>34513885.113776401</v>
      </c>
      <c r="F31">
        <f ca="1"/>
        <v>16070298.62370351</v>
      </c>
      <c r="G31">
        <f ca="1"/>
        <v>15434382.6216313</v>
      </c>
      <c r="M31" s="26">
        <f>'II. EU CTB &amp; PAB Report'!C54</f>
        <v>45473</v>
      </c>
      <c r="N31" s="26" t="str">
        <f>'II. EU CTB &amp; PAB Report'!$F$10&amp;REF!A31</f>
        <v>iBoxx MSCI GBP Corporates Paris Aligned Capped TCA Index27</v>
      </c>
      <c r="O31" s="32">
        <f>IF(VLOOKUP(N31,PAB_CTB_Database!$B:$I,8,FALSE)="***",NA(),VLOOKUP(N31,PAB_CTB_Database!$B:$I,8,FALSE))</f>
        <v>34513885.113776401</v>
      </c>
      <c r="P31" s="32">
        <f>IF(VLOOKUP(N31,PAB_CTB_Database!$B:$J,9,FALSE)="***",NA(),VLOOKUP(N31,PAB_CTB_Database!$B:$J,9,FALSE))</f>
        <v>17256942.5568882</v>
      </c>
      <c r="Q31" s="32">
        <f>IF(VLOOKUP(N31,PAB_CTB_Database!$B:$K,10,FALSE)="***",NA(),VLOOKUP(N31,PAB_CTB_Database!$B:$K,10,FALSE))</f>
        <v>16482357.562772831</v>
      </c>
      <c r="R31" s="32">
        <f>IF(VLOOKUP(N31,PAB_CTB_Database!$B:$M,12,FALSE)="***",NA(),VLOOKUP(N31,PAB_CTB_Database!$B:$M,12,FALSE))</f>
        <v>16070298.62370351</v>
      </c>
      <c r="S31" s="32">
        <f>IF(VLOOKUP(N31,PAB_CTB_Database!$B:$N,13,FALSE)="***",NA(),VLOOKUP(N31,PAB_CTB_Database!$B:$N,13,FALSE))</f>
        <v>15434382.6216313</v>
      </c>
      <c r="U31" s="26">
        <f t="shared" si="2"/>
        <v>45473</v>
      </c>
      <c r="V31" s="26" t="str">
        <f t="shared" si="3"/>
        <v>iBoxx MSCI GBP Corporates Paris Aligned Capped TCA Index27</v>
      </c>
      <c r="W31" s="32">
        <f t="shared" si="4"/>
        <v>34513885.113776401</v>
      </c>
      <c r="X31" s="32">
        <f t="shared" si="0"/>
        <v>15434382.6216313</v>
      </c>
      <c r="Y31" s="32">
        <f t="shared" si="5"/>
        <v>17256942.5568882</v>
      </c>
      <c r="Z31" s="32">
        <f t="shared" si="6"/>
        <v>16482357.562772831</v>
      </c>
      <c r="AA31" s="32">
        <f t="shared" si="7"/>
        <v>16070298.62370351</v>
      </c>
      <c r="AL31" s="42"/>
      <c r="AM31" s="43"/>
      <c r="AO31" t="s">
        <v>194</v>
      </c>
    </row>
    <row r="32" spans="1:41" x14ac:dyDescent="0.35">
      <c r="A32">
        <v>28</v>
      </c>
      <c r="C32" s="26">
        <f ca="1"/>
        <v>45504</v>
      </c>
      <c r="D32" s="26"/>
      <c r="E32">
        <f ca="1"/>
        <v>33433586</v>
      </c>
      <c r="F32">
        <f ca="1"/>
        <v>15973405.842586547</v>
      </c>
      <c r="G32">
        <f ca="1"/>
        <v>15341324</v>
      </c>
      <c r="M32" s="26">
        <f>'II. EU CTB &amp; PAB Report'!C55</f>
        <v>45504</v>
      </c>
      <c r="N32" s="26" t="str">
        <f>'II. EU CTB &amp; PAB Report'!$F$10&amp;REF!A32</f>
        <v>iBoxx MSCI GBP Corporates Paris Aligned Capped TCA Index28</v>
      </c>
      <c r="O32" s="32">
        <f>IF(VLOOKUP(N32,PAB_CTB_Database!$B:$I,8,FALSE)="***",NA(),VLOOKUP(N32,PAB_CTB_Database!$B:$I,8,FALSE))</f>
        <v>33433586</v>
      </c>
      <c r="P32" s="32">
        <f>IF(VLOOKUP(N32,PAB_CTB_Database!$B:$J,9,FALSE)="***",NA(),VLOOKUP(N32,PAB_CTB_Database!$B:$J,9,FALSE))</f>
        <v>16716793</v>
      </c>
      <c r="Q32" s="32">
        <f>IF(VLOOKUP(N32,PAB_CTB_Database!$B:$K,10,FALSE)="***",NA(),VLOOKUP(N32,PAB_CTB_Database!$B:$K,10,FALSE))</f>
        <v>16382980.351370817</v>
      </c>
      <c r="R32" s="32">
        <f>IF(VLOOKUP(N32,PAB_CTB_Database!$B:$M,12,FALSE)="***",NA(),VLOOKUP(N32,PAB_CTB_Database!$B:$M,12,FALSE))</f>
        <v>15973405.842586547</v>
      </c>
      <c r="S32" s="32">
        <f>IF(VLOOKUP(N32,PAB_CTB_Database!$B:$N,13,FALSE)="***",NA(),VLOOKUP(N32,PAB_CTB_Database!$B:$N,13,FALSE))</f>
        <v>15341324</v>
      </c>
      <c r="U32" s="26">
        <f t="shared" si="2"/>
        <v>45504</v>
      </c>
      <c r="V32" s="26" t="str">
        <f t="shared" si="3"/>
        <v>iBoxx MSCI GBP Corporates Paris Aligned Capped TCA Index28</v>
      </c>
      <c r="W32" s="32">
        <f t="shared" si="4"/>
        <v>33433586</v>
      </c>
      <c r="X32" s="32">
        <f t="shared" si="0"/>
        <v>15341324</v>
      </c>
      <c r="Y32" s="32">
        <f t="shared" si="5"/>
        <v>16716793</v>
      </c>
      <c r="Z32" s="32">
        <f t="shared" si="6"/>
        <v>16382980.351370817</v>
      </c>
      <c r="AA32" s="32">
        <f t="shared" si="7"/>
        <v>15973405.842586547</v>
      </c>
      <c r="AL32" s="42"/>
      <c r="AM32" s="43"/>
      <c r="AO32" t="s">
        <v>196</v>
      </c>
    </row>
    <row r="33" spans="1:41" x14ac:dyDescent="0.35">
      <c r="A33">
        <v>29</v>
      </c>
      <c r="C33" s="26">
        <f ca="1"/>
        <v>45535</v>
      </c>
      <c r="D33" s="26"/>
      <c r="E33">
        <f ca="1"/>
        <v>33856537</v>
      </c>
      <c r="F33">
        <f ca="1"/>
        <v>15877097.257896321</v>
      </c>
      <c r="G33">
        <f ca="1"/>
        <v>15248826</v>
      </c>
      <c r="M33" s="26">
        <f>'II. EU CTB &amp; PAB Report'!C56</f>
        <v>45535</v>
      </c>
      <c r="N33" s="26" t="str">
        <f>'II. EU CTB &amp; PAB Report'!$F$10&amp;REF!A33</f>
        <v>iBoxx MSCI GBP Corporates Paris Aligned Capped TCA Index29</v>
      </c>
      <c r="O33" s="32">
        <f>IF(VLOOKUP(N33,PAB_CTB_Database!$B:$I,8,FALSE)="***",NA(),VLOOKUP(N33,PAB_CTB_Database!$B:$I,8,FALSE))</f>
        <v>33856537</v>
      </c>
      <c r="P33" s="32">
        <f>IF(VLOOKUP(N33,PAB_CTB_Database!$B:$J,9,FALSE)="***",NA(),VLOOKUP(N33,PAB_CTB_Database!$B:$J,9,FALSE))</f>
        <v>16928268.5</v>
      </c>
      <c r="Q33" s="32">
        <f>IF(VLOOKUP(N33,PAB_CTB_Database!$B:$K,10,FALSE)="***",NA(),VLOOKUP(N33,PAB_CTB_Database!$B:$K,10,FALSE))</f>
        <v>16284202.315791098</v>
      </c>
      <c r="R33" s="32">
        <f>IF(VLOOKUP(N33,PAB_CTB_Database!$B:$M,12,FALSE)="***",NA(),VLOOKUP(N33,PAB_CTB_Database!$B:$M,12,FALSE))</f>
        <v>15877097.257896321</v>
      </c>
      <c r="S33" s="32">
        <f>IF(VLOOKUP(N33,PAB_CTB_Database!$B:$N,13,FALSE)="***",NA(),VLOOKUP(N33,PAB_CTB_Database!$B:$N,13,FALSE))</f>
        <v>15248826</v>
      </c>
      <c r="U33" s="26">
        <f t="shared" si="2"/>
        <v>45535</v>
      </c>
      <c r="V33" s="26" t="str">
        <f t="shared" si="3"/>
        <v>iBoxx MSCI GBP Corporates Paris Aligned Capped TCA Index29</v>
      </c>
      <c r="W33" s="32">
        <f t="shared" si="4"/>
        <v>33856537</v>
      </c>
      <c r="X33" s="32">
        <f t="shared" si="0"/>
        <v>15248826</v>
      </c>
      <c r="Y33" s="32">
        <f t="shared" si="5"/>
        <v>16928268.5</v>
      </c>
      <c r="Z33" s="32">
        <f t="shared" si="6"/>
        <v>16284202.315791098</v>
      </c>
      <c r="AA33" s="32">
        <f t="shared" si="7"/>
        <v>15877097.257896321</v>
      </c>
      <c r="AL33" s="42"/>
      <c r="AM33" s="43"/>
      <c r="AO33" t="s">
        <v>198</v>
      </c>
    </row>
    <row r="34" spans="1:41" x14ac:dyDescent="0.35">
      <c r="A34">
        <v>30</v>
      </c>
      <c r="C34" s="26">
        <f ca="1"/>
        <v>45565</v>
      </c>
      <c r="D34" s="26"/>
      <c r="E34">
        <f ca="1"/>
        <v>33305912</v>
      </c>
      <c r="F34">
        <f ca="1"/>
        <v>15781369.347332606</v>
      </c>
      <c r="G34">
        <f ca="1"/>
        <v>15156887</v>
      </c>
      <c r="M34" s="26"/>
      <c r="N34" s="26" t="str">
        <f>'II. EU CTB &amp; PAB Report'!$F$10&amp;REF!A34</f>
        <v>iBoxx MSCI GBP Corporates Paris Aligned Capped TCA Index30</v>
      </c>
      <c r="O34" s="32">
        <f>IF(VLOOKUP(N34,PAB_CTB_Database!$B:$I,8,FALSE)="***",NA(),VLOOKUP(N34,PAB_CTB_Database!$B:$I,8,FALSE))</f>
        <v>33305912</v>
      </c>
      <c r="P34" s="32">
        <f>IF(VLOOKUP(N34,PAB_CTB_Database!$B:$J,9,FALSE)="***",NA(),VLOOKUP(N34,PAB_CTB_Database!$B:$J,9,FALSE))</f>
        <v>16652956</v>
      </c>
      <c r="Q34" s="32">
        <f>IF(VLOOKUP(N34,PAB_CTB_Database!$B:$K,10,FALSE)="***",NA(),VLOOKUP(N34,PAB_CTB_Database!$B:$K,10,FALSE))</f>
        <v>16186019.843418058</v>
      </c>
      <c r="R34" s="32">
        <f>IF(VLOOKUP(N34,PAB_CTB_Database!$B:$M,12,FALSE)="***",NA(),VLOOKUP(N34,PAB_CTB_Database!$B:$M,12,FALSE))</f>
        <v>15781369.347332606</v>
      </c>
      <c r="S34" s="32">
        <f>IF(VLOOKUP(N34,PAB_CTB_Database!$B:$N,13,FALSE)="***",NA(),VLOOKUP(N34,PAB_CTB_Database!$B:$N,13,FALSE))</f>
        <v>15156887</v>
      </c>
      <c r="U34" s="26">
        <f t="shared" si="2"/>
        <v>0</v>
      </c>
      <c r="V34" s="26" t="str">
        <f t="shared" si="3"/>
        <v>iBoxx MSCI GBP Corporates Paris Aligned Capped TCA Index30</v>
      </c>
      <c r="W34" s="32">
        <f t="shared" si="4"/>
        <v>33305912</v>
      </c>
      <c r="X34" s="32">
        <f t="shared" si="0"/>
        <v>15156887</v>
      </c>
      <c r="Y34" s="32">
        <f t="shared" si="5"/>
        <v>16652956</v>
      </c>
      <c r="Z34" s="32">
        <f t="shared" si="6"/>
        <v>16186019.843418058</v>
      </c>
      <c r="AA34" s="32">
        <f t="shared" si="7"/>
        <v>15781369.347332606</v>
      </c>
      <c r="AL34" s="42"/>
      <c r="AM34" s="43"/>
      <c r="AO34" t="s">
        <v>200</v>
      </c>
    </row>
    <row r="35" spans="1:41" x14ac:dyDescent="0.35">
      <c r="A35">
        <v>31</v>
      </c>
      <c r="C35" s="26">
        <f ca="1"/>
        <v>45596</v>
      </c>
      <c r="D35" s="26"/>
      <c r="E35">
        <f ca="1"/>
        <v>31015328.9363873</v>
      </c>
      <c r="F35">
        <f ca="1"/>
        <v>15119972.856488809</v>
      </c>
      <c r="G35">
        <f ca="1"/>
        <v>14300461.3854986</v>
      </c>
      <c r="M35" s="26">
        <f>'II. EU CTB &amp; PAB Report'!C58</f>
        <v>45596</v>
      </c>
      <c r="N35" s="26" t="str">
        <f>'II. EU CTB &amp; PAB Report'!$F$10&amp;REF!A35</f>
        <v>iBoxx MSCI GBP Corporates Paris Aligned Capped TCA Index31</v>
      </c>
      <c r="O35" s="32">
        <f>IF(VLOOKUP(N35,PAB_CTB_Database!$B:$I,8,FALSE)="***",NA(),VLOOKUP(N35,PAB_CTB_Database!$B:$I,8,FALSE))</f>
        <v>31015328.9363873</v>
      </c>
      <c r="P35" s="32">
        <f>IF(VLOOKUP(N35,PAB_CTB_Database!$B:$J,9,FALSE)="***",NA(),VLOOKUP(N35,PAB_CTB_Database!$B:$J,9,FALSE))</f>
        <v>15507664.46819365</v>
      </c>
      <c r="Q35" s="32">
        <f>IF(VLOOKUP(N35,PAB_CTB_Database!$B:$K,10,FALSE)="***",NA(),VLOOKUP(N35,PAB_CTB_Database!$B:$K,10,FALSE))</f>
        <v>16088429.343417646</v>
      </c>
      <c r="R35" s="32">
        <f>IF(VLOOKUP(N35,PAB_CTB_Database!$B:$M,12,FALSE)="***",NA(),VLOOKUP(N35,PAB_CTB_Database!$B:$M,12,FALSE))</f>
        <v>15119972.856488809</v>
      </c>
      <c r="S35" s="32">
        <f>IF(VLOOKUP(N35,PAB_CTB_Database!$B:$N,13,FALSE)="***",NA(),VLOOKUP(N35,PAB_CTB_Database!$B:$N,13,FALSE))</f>
        <v>14300461.3854986</v>
      </c>
      <c r="U35" s="26">
        <f t="shared" si="2"/>
        <v>45596</v>
      </c>
      <c r="V35" s="26" t="str">
        <f t="shared" si="3"/>
        <v>iBoxx MSCI GBP Corporates Paris Aligned Capped TCA Index31</v>
      </c>
      <c r="W35" s="32">
        <f t="shared" si="4"/>
        <v>31015328.9363873</v>
      </c>
      <c r="X35" s="32">
        <f t="shared" si="0"/>
        <v>14300461.3854986</v>
      </c>
      <c r="Y35" s="32">
        <f t="shared" si="5"/>
        <v>15507664.46819365</v>
      </c>
      <c r="Z35" s="32">
        <f t="shared" si="6"/>
        <v>16088429.343417646</v>
      </c>
      <c r="AA35" s="32">
        <f t="shared" si="7"/>
        <v>15119972.856488809</v>
      </c>
      <c r="AL35" s="42"/>
      <c r="AM35" s="43"/>
      <c r="AO35" t="s">
        <v>202</v>
      </c>
    </row>
    <row r="36" spans="1:41" x14ac:dyDescent="0.35">
      <c r="A36">
        <v>32</v>
      </c>
      <c r="C36" s="26">
        <f ca="1"/>
        <v>45626</v>
      </c>
      <c r="D36" s="26"/>
      <c r="E36">
        <f ca="1"/>
        <v>32294797</v>
      </c>
      <c r="F36">
        <f ca="1"/>
        <v>15591641.565440916</v>
      </c>
      <c r="G36">
        <f ca="1"/>
        <v>13068879</v>
      </c>
      <c r="M36" s="26">
        <f>'II. EU CTB &amp; PAB Report'!C59</f>
        <v>45626</v>
      </c>
      <c r="N36" s="26" t="str">
        <f>'II. EU CTB &amp; PAB Report'!$F$10&amp;REF!A36</f>
        <v>iBoxx MSCI GBP Corporates Paris Aligned Capped TCA Index32</v>
      </c>
      <c r="O36" s="32">
        <f>IF(VLOOKUP(N36,PAB_CTB_Database!$B:$I,8,FALSE)="***",NA(),VLOOKUP(N36,PAB_CTB_Database!$B:$I,8,FALSE))</f>
        <v>32294797</v>
      </c>
      <c r="P36" s="32">
        <f>IF(VLOOKUP(N36,PAB_CTB_Database!$B:$J,9,FALSE)="***",NA(),VLOOKUP(N36,PAB_CTB_Database!$B:$J,9,FALSE))</f>
        <v>16147398.5</v>
      </c>
      <c r="Q36" s="32">
        <f>IF(VLOOKUP(N36,PAB_CTB_Database!$B:$K,10,FALSE)="***",NA(),VLOOKUP(N36,PAB_CTB_Database!$B:$K,10,FALSE))</f>
        <v>15991427.246606067</v>
      </c>
      <c r="R36" s="32">
        <f>IF(VLOOKUP(N36,PAB_CTB_Database!$B:$M,12,FALSE)="***",NA(),VLOOKUP(N36,PAB_CTB_Database!$B:$M,12,FALSE))</f>
        <v>15591641.565440916</v>
      </c>
      <c r="S36" s="32">
        <f>IF(VLOOKUP(N36,PAB_CTB_Database!$B:$N,13,FALSE)="***",NA(),VLOOKUP(N36,PAB_CTB_Database!$B:$N,13,FALSE))</f>
        <v>13068879</v>
      </c>
      <c r="U36" s="26">
        <f t="shared" si="2"/>
        <v>45626</v>
      </c>
      <c r="V36" s="26" t="str">
        <f t="shared" si="3"/>
        <v>iBoxx MSCI GBP Corporates Paris Aligned Capped TCA Index32</v>
      </c>
      <c r="W36" s="32">
        <f t="shared" si="4"/>
        <v>32294797</v>
      </c>
      <c r="X36" s="32">
        <f t="shared" si="0"/>
        <v>13068879</v>
      </c>
      <c r="Y36" s="32">
        <f t="shared" si="5"/>
        <v>16147398.5</v>
      </c>
      <c r="Z36" s="32">
        <f t="shared" si="6"/>
        <v>15991427.246606067</v>
      </c>
      <c r="AA36" s="32">
        <f t="shared" si="7"/>
        <v>15591641.565440916</v>
      </c>
      <c r="AL36" s="42"/>
      <c r="AM36" s="43"/>
      <c r="AO36" t="s">
        <v>204</v>
      </c>
    </row>
    <row r="37" spans="1:41" x14ac:dyDescent="0.35">
      <c r="A37">
        <v>33</v>
      </c>
      <c r="C37" s="26">
        <f ca="1"/>
        <v>45657</v>
      </c>
      <c r="D37" s="26"/>
      <c r="E37" t="str">
        <f ca="1"/>
        <v/>
      </c>
      <c r="F37" t="str">
        <f ca="1"/>
        <v/>
      </c>
      <c r="G37" t="str">
        <f ca="1"/>
        <v/>
      </c>
      <c r="M37" s="26">
        <f>'II. EU CTB &amp; PAB Report'!C60</f>
        <v>45657</v>
      </c>
      <c r="N37" s="26" t="str">
        <f>'II. EU CTB &amp; PAB Report'!$F$10&amp;REF!A37</f>
        <v>iBoxx MSCI GBP Corporates Paris Aligned Capped TCA Index33</v>
      </c>
      <c r="O37" s="32">
        <f>IF(VLOOKUP(N37,PAB_CTB_Database!$B:$I,8,FALSE)="***",NA(),VLOOKUP(N37,PAB_CTB_Database!$B:$I,8,FALSE))</f>
        <v>0</v>
      </c>
      <c r="P37" s="32">
        <f>IF(VLOOKUP(N37,PAB_CTB_Database!$B:$J,9,FALSE)="***",NA(),VLOOKUP(N37,PAB_CTB_Database!$B:$J,9,FALSE))</f>
        <v>0</v>
      </c>
      <c r="Q37" s="32">
        <f>IF(VLOOKUP(N37,PAB_CTB_Database!$B:$K,10,FALSE)="***",NA(),VLOOKUP(N37,PAB_CTB_Database!$B:$K,10,FALSE))</f>
        <v>15895010.005319221</v>
      </c>
      <c r="R37" s="32">
        <f>IF(VLOOKUP(N37,PAB_CTB_Database!$B:$M,12,FALSE)="***",NA(),VLOOKUP(N37,PAB_CTB_Database!$B:$M,12,FALSE))</f>
        <v>0</v>
      </c>
      <c r="S37" s="32">
        <f>IF(VLOOKUP(N37,PAB_CTB_Database!$B:$N,13,FALSE)="***",NA(),VLOOKUP(N37,PAB_CTB_Database!$B:$N,13,FALSE))</f>
        <v>0</v>
      </c>
      <c r="U37" s="26">
        <f t="shared" si="2"/>
        <v>45657</v>
      </c>
      <c r="V37" s="26" t="str">
        <f t="shared" si="3"/>
        <v>iBoxx MSCI GBP Corporates Paris Aligned Capped TCA Index33</v>
      </c>
      <c r="W37" s="32" t="e">
        <f t="shared" si="4"/>
        <v>#N/A</v>
      </c>
      <c r="X37" s="32" t="e">
        <f t="shared" si="0"/>
        <v>#N/A</v>
      </c>
      <c r="Y37" s="32" t="e">
        <f t="shared" si="5"/>
        <v>#N/A</v>
      </c>
      <c r="Z37" s="32">
        <f t="shared" si="6"/>
        <v>15895010.005319221</v>
      </c>
      <c r="AA37" s="32" t="e">
        <f t="shared" si="7"/>
        <v>#N/A</v>
      </c>
      <c r="AL37" s="42"/>
      <c r="AM37" s="43"/>
      <c r="AO37" t="s">
        <v>206</v>
      </c>
    </row>
    <row r="38" spans="1:41" x14ac:dyDescent="0.35">
      <c r="A38">
        <v>34</v>
      </c>
      <c r="C38" s="26">
        <f ca="1"/>
        <v>45688</v>
      </c>
      <c r="D38" s="26"/>
      <c r="E38" t="str">
        <f ca="1"/>
        <v/>
      </c>
      <c r="F38" t="str">
        <f ca="1"/>
        <v/>
      </c>
      <c r="G38" t="str">
        <f ca="1"/>
        <v/>
      </c>
      <c r="M38" s="26">
        <f>'II. EU CTB &amp; PAB Report'!C61</f>
        <v>45688</v>
      </c>
      <c r="N38" s="26" t="str">
        <f>'II. EU CTB &amp; PAB Report'!$F$10&amp;REF!A38</f>
        <v>iBoxx MSCI GBP Corporates Paris Aligned Capped TCA Index34</v>
      </c>
      <c r="O38" s="32">
        <f>IF(VLOOKUP(N38,PAB_CTB_Database!$B:$I,8,FALSE)="***",NA(),VLOOKUP(N38,PAB_CTB_Database!$B:$I,8,FALSE))</f>
        <v>0</v>
      </c>
      <c r="P38" s="32">
        <f>IF(VLOOKUP(N38,PAB_CTB_Database!$B:$J,9,FALSE)="***",NA(),VLOOKUP(N38,PAB_CTB_Database!$B:$J,9,FALSE))</f>
        <v>0</v>
      </c>
      <c r="Q38" s="32">
        <f>IF(VLOOKUP(N38,PAB_CTB_Database!$B:$K,10,FALSE)="***",NA(),VLOOKUP(N38,PAB_CTB_Database!$B:$K,10,FALSE))</f>
        <v>15799174.093282983</v>
      </c>
      <c r="R38" s="32">
        <f>IF(VLOOKUP(N38,PAB_CTB_Database!$B:$M,12,FALSE)="***",NA(),VLOOKUP(N38,PAB_CTB_Database!$B:$M,12,FALSE))</f>
        <v>0</v>
      </c>
      <c r="S38" s="32">
        <f>IF(VLOOKUP(N38,PAB_CTB_Database!$B:$N,13,FALSE)="***",NA(),VLOOKUP(N38,PAB_CTB_Database!$B:$N,13,FALSE))</f>
        <v>0</v>
      </c>
      <c r="U38" s="26">
        <f t="shared" si="2"/>
        <v>45688</v>
      </c>
      <c r="V38" s="26" t="str">
        <f t="shared" si="3"/>
        <v>iBoxx MSCI GBP Corporates Paris Aligned Capped TCA Index34</v>
      </c>
      <c r="W38" s="32" t="e">
        <f t="shared" si="4"/>
        <v>#N/A</v>
      </c>
      <c r="X38" s="32" t="e">
        <f t="shared" si="0"/>
        <v>#N/A</v>
      </c>
      <c r="Y38" s="32" t="e">
        <f t="shared" si="5"/>
        <v>#N/A</v>
      </c>
      <c r="Z38" s="32">
        <f t="shared" si="6"/>
        <v>15799174.093282983</v>
      </c>
      <c r="AA38" s="32" t="e">
        <f t="shared" si="7"/>
        <v>#N/A</v>
      </c>
      <c r="AL38" s="42"/>
      <c r="AM38" s="43"/>
      <c r="AO38" t="s">
        <v>208</v>
      </c>
    </row>
    <row r="39" spans="1:41" x14ac:dyDescent="0.35">
      <c r="A39">
        <v>35</v>
      </c>
      <c r="C39" s="26">
        <f ca="1"/>
        <v>45716</v>
      </c>
      <c r="D39" s="26"/>
      <c r="E39" t="str">
        <f ca="1"/>
        <v/>
      </c>
      <c r="F39" t="str">
        <f ca="1"/>
        <v/>
      </c>
      <c r="G39" t="str">
        <f ca="1"/>
        <v/>
      </c>
      <c r="M39" s="26">
        <f>'II. EU CTB &amp; PAB Report'!C62</f>
        <v>45716</v>
      </c>
      <c r="N39" s="26" t="str">
        <f>'II. EU CTB &amp; PAB Report'!$F$10&amp;REF!A39</f>
        <v>iBoxx MSCI GBP Corporates Paris Aligned Capped TCA Index35</v>
      </c>
      <c r="O39" s="32">
        <f>IF(VLOOKUP(N39,PAB_CTB_Database!$B:$I,8,FALSE)="***",NA(),VLOOKUP(N39,PAB_CTB_Database!$B:$I,8,FALSE))</f>
        <v>0</v>
      </c>
      <c r="P39" s="32">
        <f>IF(VLOOKUP(N39,PAB_CTB_Database!$B:$J,9,FALSE)="***",NA(),VLOOKUP(N39,PAB_CTB_Database!$B:$J,9,FALSE))</f>
        <v>0</v>
      </c>
      <c r="Q39" s="32">
        <f>IF(VLOOKUP(N39,PAB_CTB_Database!$B:$K,10,FALSE)="***",NA(),VLOOKUP(N39,PAB_CTB_Database!$B:$K,10,FALSE))</f>
        <v>15703916.005484208</v>
      </c>
      <c r="R39" s="32">
        <f>IF(VLOOKUP(N39,PAB_CTB_Database!$B:$M,12,FALSE)="***",NA(),VLOOKUP(N39,PAB_CTB_Database!$B:$M,12,FALSE))</f>
        <v>0</v>
      </c>
      <c r="S39" s="32">
        <f>IF(VLOOKUP(N39,PAB_CTB_Database!$B:$N,13,FALSE)="***",NA(),VLOOKUP(N39,PAB_CTB_Database!$B:$N,13,FALSE))</f>
        <v>0</v>
      </c>
      <c r="U39" s="26">
        <f t="shared" si="2"/>
        <v>45716</v>
      </c>
      <c r="V39" s="26" t="str">
        <f t="shared" si="3"/>
        <v>iBoxx MSCI GBP Corporates Paris Aligned Capped TCA Index35</v>
      </c>
      <c r="W39" s="32" t="e">
        <f t="shared" si="4"/>
        <v>#N/A</v>
      </c>
      <c r="X39" s="32" t="e">
        <f t="shared" si="0"/>
        <v>#N/A</v>
      </c>
      <c r="Y39" s="32" t="e">
        <f t="shared" si="5"/>
        <v>#N/A</v>
      </c>
      <c r="Z39" s="32">
        <f t="shared" si="6"/>
        <v>15703916.005484208</v>
      </c>
      <c r="AA39" s="32" t="e">
        <f t="shared" si="7"/>
        <v>#N/A</v>
      </c>
      <c r="AL39" s="42"/>
      <c r="AM39" s="43"/>
      <c r="AO39" t="s">
        <v>210</v>
      </c>
    </row>
    <row r="40" spans="1:41" x14ac:dyDescent="0.35">
      <c r="A40">
        <v>36</v>
      </c>
      <c r="C40" s="26">
        <f ca="1"/>
        <v>45747</v>
      </c>
      <c r="D40" s="26"/>
      <c r="E40" t="str">
        <f ca="1"/>
        <v/>
      </c>
      <c r="F40" t="str">
        <f ca="1"/>
        <v/>
      </c>
      <c r="G40" t="str">
        <f ca="1"/>
        <v/>
      </c>
      <c r="M40" s="26">
        <f>'II. EU CTB &amp; PAB Report'!C63</f>
        <v>45747</v>
      </c>
      <c r="N40" s="26" t="str">
        <f>'II. EU CTB &amp; PAB Report'!$F$10&amp;REF!A40</f>
        <v>iBoxx MSCI GBP Corporates Paris Aligned Capped TCA Index36</v>
      </c>
      <c r="O40" s="32">
        <f>IF(VLOOKUP(N40,PAB_CTB_Database!$B:$I,8,FALSE)="***",NA(),VLOOKUP(N40,PAB_CTB_Database!$B:$I,8,FALSE))</f>
        <v>0</v>
      </c>
      <c r="P40" s="32">
        <f>IF(VLOOKUP(N40,PAB_CTB_Database!$B:$J,9,FALSE)="***",NA(),VLOOKUP(N40,PAB_CTB_Database!$B:$J,9,FALSE))</f>
        <v>0</v>
      </c>
      <c r="Q40" s="32">
        <f>IF(VLOOKUP(N40,PAB_CTB_Database!$B:$K,10,FALSE)="***",NA(),VLOOKUP(N40,PAB_CTB_Database!$B:$K,10,FALSE))</f>
        <v>15609232.258042561</v>
      </c>
      <c r="R40" s="32">
        <f>IF(VLOOKUP(N40,PAB_CTB_Database!$B:$M,12,FALSE)="***",NA(),VLOOKUP(N40,PAB_CTB_Database!$B:$M,12,FALSE))</f>
        <v>0</v>
      </c>
      <c r="S40" s="32">
        <f>IF(VLOOKUP(N40,PAB_CTB_Database!$B:$N,13,FALSE)="***",NA(),VLOOKUP(N40,PAB_CTB_Database!$B:$N,13,FALSE))</f>
        <v>0</v>
      </c>
      <c r="U40" s="26">
        <f t="shared" si="2"/>
        <v>45747</v>
      </c>
      <c r="V40" s="26" t="str">
        <f t="shared" si="3"/>
        <v>iBoxx MSCI GBP Corporates Paris Aligned Capped TCA Index36</v>
      </c>
      <c r="W40" s="32" t="e">
        <f t="shared" si="4"/>
        <v>#N/A</v>
      </c>
      <c r="X40" s="32" t="e">
        <f t="shared" si="0"/>
        <v>#N/A</v>
      </c>
      <c r="Y40" s="32" t="e">
        <f t="shared" si="5"/>
        <v>#N/A</v>
      </c>
      <c r="Z40" s="32">
        <f t="shared" si="6"/>
        <v>15609232.258042561</v>
      </c>
      <c r="AA40" s="32" t="e">
        <f t="shared" si="7"/>
        <v>#N/A</v>
      </c>
      <c r="AL40" s="42"/>
      <c r="AM40" s="43"/>
      <c r="AO40" t="s">
        <v>212</v>
      </c>
    </row>
    <row r="41" spans="1:41" x14ac:dyDescent="0.35">
      <c r="A41">
        <v>37</v>
      </c>
      <c r="C41" s="26">
        <f ca="1"/>
        <v>45777</v>
      </c>
      <c r="D41" s="26"/>
      <c r="E41" t="str">
        <f ca="1"/>
        <v/>
      </c>
      <c r="F41" t="str">
        <f ca="1"/>
        <v/>
      </c>
      <c r="G41" t="str">
        <f ca="1"/>
        <v/>
      </c>
      <c r="M41" s="26">
        <f>'II. EU CTB &amp; PAB Report'!C64</f>
        <v>45777</v>
      </c>
      <c r="N41" s="26" t="str">
        <f>'II. EU CTB &amp; PAB Report'!$F$10&amp;REF!A41</f>
        <v>iBoxx MSCI GBP Corporates Paris Aligned Capped TCA Index37</v>
      </c>
      <c r="O41" s="32">
        <f>IF(VLOOKUP(N41,PAB_CTB_Database!$B:$I,8,FALSE)="***",NA(),VLOOKUP(N41,PAB_CTB_Database!$B:$I,8,FALSE))</f>
        <v>0</v>
      </c>
      <c r="P41" s="32">
        <f>IF(VLOOKUP(N41,PAB_CTB_Database!$B:$J,9,FALSE)="***",NA(),VLOOKUP(N41,PAB_CTB_Database!$B:$J,9,FALSE))</f>
        <v>0</v>
      </c>
      <c r="Q41" s="32">
        <f>IF(VLOOKUP(N41,PAB_CTB_Database!$B:$K,10,FALSE)="***",NA(),VLOOKUP(N41,PAB_CTB_Database!$B:$K,10,FALSE))</f>
        <v>15515119.388083097</v>
      </c>
      <c r="R41" s="32">
        <f>IF(VLOOKUP(N41,PAB_CTB_Database!$B:$M,12,FALSE)="***",NA(),VLOOKUP(N41,PAB_CTB_Database!$B:$M,12,FALSE))</f>
        <v>0</v>
      </c>
      <c r="S41" s="32">
        <f>IF(VLOOKUP(N41,PAB_CTB_Database!$B:$N,13,FALSE)="***",NA(),VLOOKUP(N41,PAB_CTB_Database!$B:$N,13,FALSE))</f>
        <v>0</v>
      </c>
      <c r="U41" s="26">
        <f t="shared" si="2"/>
        <v>45777</v>
      </c>
      <c r="V41" s="26" t="str">
        <f t="shared" si="3"/>
        <v>iBoxx MSCI GBP Corporates Paris Aligned Capped TCA Index37</v>
      </c>
      <c r="W41" s="32" t="e">
        <f t="shared" si="4"/>
        <v>#N/A</v>
      </c>
      <c r="X41" s="32" t="e">
        <f t="shared" si="0"/>
        <v>#N/A</v>
      </c>
      <c r="Y41" s="32" t="e">
        <f t="shared" si="5"/>
        <v>#N/A</v>
      </c>
      <c r="Z41" s="32">
        <f t="shared" si="6"/>
        <v>15515119.388083097</v>
      </c>
      <c r="AA41" s="32" t="e">
        <f t="shared" si="7"/>
        <v>#N/A</v>
      </c>
      <c r="AL41" s="42"/>
      <c r="AM41" s="43"/>
      <c r="AO41" t="s">
        <v>213</v>
      </c>
    </row>
    <row r="42" spans="1:41" x14ac:dyDescent="0.35">
      <c r="A42">
        <v>38</v>
      </c>
      <c r="C42" s="26">
        <f ca="1"/>
        <v>45808</v>
      </c>
      <c r="D42" s="26"/>
      <c r="E42" t="str">
        <f ca="1"/>
        <v/>
      </c>
      <c r="F42" t="str">
        <f ca="1"/>
        <v/>
      </c>
      <c r="G42" t="str">
        <f ca="1"/>
        <v/>
      </c>
      <c r="M42" s="26">
        <f>'II. EU CTB &amp; PAB Report'!C65</f>
        <v>45808</v>
      </c>
      <c r="N42" s="26" t="str">
        <f>'II. EU CTB &amp; PAB Report'!$F$10&amp;REF!A42</f>
        <v>iBoxx MSCI GBP Corporates Paris Aligned Capped TCA Index38</v>
      </c>
      <c r="O42" s="32">
        <f>IF(VLOOKUP(N42,PAB_CTB_Database!$B:$I,8,FALSE)="***",NA(),VLOOKUP(N42,PAB_CTB_Database!$B:$I,8,FALSE))</f>
        <v>0</v>
      </c>
      <c r="P42" s="32">
        <f>IF(VLOOKUP(N42,PAB_CTB_Database!$B:$J,9,FALSE)="***",NA(),VLOOKUP(N42,PAB_CTB_Database!$B:$J,9,FALSE))</f>
        <v>0</v>
      </c>
      <c r="Q42" s="32">
        <f>IF(VLOOKUP(N42,PAB_CTB_Database!$B:$K,10,FALSE)="***",NA(),VLOOKUP(N42,PAB_CTB_Database!$B:$K,10,FALSE))</f>
        <v>15421573.953609606</v>
      </c>
      <c r="R42" s="32">
        <f>IF(VLOOKUP(N42,PAB_CTB_Database!$B:$M,12,FALSE)="***",NA(),VLOOKUP(N42,PAB_CTB_Database!$B:$M,12,FALSE))</f>
        <v>0</v>
      </c>
      <c r="S42" s="32">
        <f>IF(VLOOKUP(N42,PAB_CTB_Database!$B:$N,13,FALSE)="***",NA(),VLOOKUP(N42,PAB_CTB_Database!$B:$N,13,FALSE))</f>
        <v>0</v>
      </c>
      <c r="U42" s="26">
        <f t="shared" si="2"/>
        <v>45808</v>
      </c>
      <c r="V42" s="26" t="str">
        <f t="shared" si="3"/>
        <v>iBoxx MSCI GBP Corporates Paris Aligned Capped TCA Index38</v>
      </c>
      <c r="W42" s="32" t="e">
        <f t="shared" si="4"/>
        <v>#N/A</v>
      </c>
      <c r="X42" s="32" t="e">
        <f t="shared" si="0"/>
        <v>#N/A</v>
      </c>
      <c r="Y42" s="32" t="e">
        <f t="shared" si="5"/>
        <v>#N/A</v>
      </c>
      <c r="Z42" s="32">
        <f t="shared" si="6"/>
        <v>15421573.953609606</v>
      </c>
      <c r="AA42" s="32" t="e">
        <f t="shared" si="7"/>
        <v>#N/A</v>
      </c>
      <c r="AL42" s="42"/>
      <c r="AM42" s="43"/>
      <c r="AO42" t="s">
        <v>215</v>
      </c>
    </row>
    <row r="43" spans="1:41" x14ac:dyDescent="0.35">
      <c r="A43">
        <v>39</v>
      </c>
      <c r="C43" s="26">
        <f ca="1"/>
        <v>45838</v>
      </c>
      <c r="D43" s="26"/>
      <c r="E43" t="str">
        <f ca="1"/>
        <v/>
      </c>
      <c r="F43" t="str">
        <f ca="1"/>
        <v/>
      </c>
      <c r="G43" t="str">
        <f ca="1"/>
        <v/>
      </c>
      <c r="M43" s="26">
        <f>'II. EU CTB &amp; PAB Report'!C66</f>
        <v>45838</v>
      </c>
      <c r="N43" s="26" t="str">
        <f>'II. EU CTB &amp; PAB Report'!$F$10&amp;REF!A43</f>
        <v>iBoxx MSCI GBP Corporates Paris Aligned Capped TCA Index39</v>
      </c>
      <c r="O43" s="32">
        <f>IF(VLOOKUP(N43,PAB_CTB_Database!$B:$I,8,FALSE)="***",NA(),VLOOKUP(N43,PAB_CTB_Database!$B:$I,8,FALSE))</f>
        <v>0</v>
      </c>
      <c r="P43" s="32">
        <f>IF(VLOOKUP(N43,PAB_CTB_Database!$B:$J,9,FALSE)="***",NA(),VLOOKUP(N43,PAB_CTB_Database!$B:$J,9,FALSE))</f>
        <v>0</v>
      </c>
      <c r="Q43" s="32">
        <f>IF(VLOOKUP(N43,PAB_CTB_Database!$B:$K,10,FALSE)="***",NA(),VLOOKUP(N43,PAB_CTB_Database!$B:$K,10,FALSE))</f>
        <v>15328592.533378735</v>
      </c>
      <c r="R43" s="32">
        <f>IF(VLOOKUP(N43,PAB_CTB_Database!$B:$M,12,FALSE)="***",NA(),VLOOKUP(N43,PAB_CTB_Database!$B:$M,12,FALSE))</f>
        <v>0</v>
      </c>
      <c r="S43" s="32">
        <f>IF(VLOOKUP(N43,PAB_CTB_Database!$B:$N,13,FALSE)="***",NA(),VLOOKUP(N43,PAB_CTB_Database!$B:$N,13,FALSE))</f>
        <v>0</v>
      </c>
      <c r="U43" s="26">
        <f t="shared" si="2"/>
        <v>45838</v>
      </c>
      <c r="V43" s="26" t="str">
        <f t="shared" si="3"/>
        <v>iBoxx MSCI GBP Corporates Paris Aligned Capped TCA Index39</v>
      </c>
      <c r="W43" s="32" t="e">
        <f t="shared" si="4"/>
        <v>#N/A</v>
      </c>
      <c r="X43" s="32" t="e">
        <f t="shared" si="0"/>
        <v>#N/A</v>
      </c>
      <c r="Y43" s="32" t="e">
        <f t="shared" si="5"/>
        <v>#N/A</v>
      </c>
      <c r="Z43" s="32">
        <f t="shared" si="6"/>
        <v>15328592.533378735</v>
      </c>
      <c r="AA43" s="32" t="e">
        <f t="shared" si="7"/>
        <v>#N/A</v>
      </c>
      <c r="AL43" s="42"/>
      <c r="AM43" s="43"/>
      <c r="AO43" t="s">
        <v>217</v>
      </c>
    </row>
    <row r="44" spans="1:41" x14ac:dyDescent="0.35">
      <c r="A44">
        <v>40</v>
      </c>
      <c r="C44" s="26">
        <f ca="1"/>
        <v>45869</v>
      </c>
      <c r="D44" s="26"/>
      <c r="E44" t="str">
        <f ca="1"/>
        <v/>
      </c>
      <c r="F44" t="str">
        <f ca="1"/>
        <v/>
      </c>
      <c r="G44" t="str">
        <f ca="1"/>
        <v/>
      </c>
      <c r="M44" s="26">
        <f>'II. EU CTB &amp; PAB Report'!C67</f>
        <v>45869</v>
      </c>
      <c r="N44" s="26" t="str">
        <f>'II. EU CTB &amp; PAB Report'!$F$10&amp;REF!A44</f>
        <v>iBoxx MSCI GBP Corporates Paris Aligned Capped TCA Index40</v>
      </c>
      <c r="O44" s="32">
        <f>IF(VLOOKUP(N44,PAB_CTB_Database!$B:$I,8,FALSE)="***",NA(),VLOOKUP(N44,PAB_CTB_Database!$B:$I,8,FALSE))</f>
        <v>0</v>
      </c>
      <c r="P44" s="32">
        <f>IF(VLOOKUP(N44,PAB_CTB_Database!$B:$J,9,FALSE)="***",NA(),VLOOKUP(N44,PAB_CTB_Database!$B:$J,9,FALSE))</f>
        <v>0</v>
      </c>
      <c r="Q44" s="32">
        <f>IF(VLOOKUP(N44,PAB_CTB_Database!$B:$K,10,FALSE)="***",NA(),VLOOKUP(N44,PAB_CTB_Database!$B:$K,10,FALSE))</f>
        <v>15236171.726774862</v>
      </c>
      <c r="R44" s="32">
        <f>IF(VLOOKUP(N44,PAB_CTB_Database!$B:$M,12,FALSE)="***",NA(),VLOOKUP(N44,PAB_CTB_Database!$B:$M,12,FALSE))</f>
        <v>0</v>
      </c>
      <c r="S44" s="32">
        <f>IF(VLOOKUP(N44,PAB_CTB_Database!$B:$N,13,FALSE)="***",NA(),VLOOKUP(N44,PAB_CTB_Database!$B:$N,13,FALSE))</f>
        <v>0</v>
      </c>
      <c r="U44" s="26">
        <f t="shared" si="2"/>
        <v>45869</v>
      </c>
      <c r="V44" s="26" t="str">
        <f t="shared" si="3"/>
        <v>iBoxx MSCI GBP Corporates Paris Aligned Capped TCA Index40</v>
      </c>
      <c r="W44" s="32" t="e">
        <f t="shared" si="4"/>
        <v>#N/A</v>
      </c>
      <c r="X44" s="32" t="e">
        <f t="shared" si="0"/>
        <v>#N/A</v>
      </c>
      <c r="Y44" s="32" t="e">
        <f t="shared" si="5"/>
        <v>#N/A</v>
      </c>
      <c r="Z44" s="32">
        <f t="shared" si="6"/>
        <v>15236171.726774862</v>
      </c>
      <c r="AA44" s="32" t="e">
        <f t="shared" si="7"/>
        <v>#N/A</v>
      </c>
      <c r="AL44" s="42"/>
      <c r="AM44" s="43"/>
      <c r="AO44" t="s">
        <v>219</v>
      </c>
    </row>
    <row r="45" spans="1:41" x14ac:dyDescent="0.35">
      <c r="A45">
        <v>41</v>
      </c>
      <c r="C45" s="26">
        <f ca="1"/>
        <v>45900</v>
      </c>
      <c r="D45" s="26"/>
      <c r="E45" t="str">
        <f ca="1"/>
        <v/>
      </c>
      <c r="F45" t="str">
        <f ca="1"/>
        <v/>
      </c>
      <c r="G45" t="str">
        <f ca="1"/>
        <v/>
      </c>
      <c r="M45" s="26">
        <f>'II. EU CTB &amp; PAB Report'!C68</f>
        <v>45900</v>
      </c>
      <c r="N45" s="26" t="str">
        <f>'II. EU CTB &amp; PAB Report'!$F$10&amp;REF!A45</f>
        <v>iBoxx MSCI GBP Corporates Paris Aligned Capped TCA Index41</v>
      </c>
      <c r="O45" s="32">
        <f>IF(VLOOKUP(N45,PAB_CTB_Database!$B:$I,8,FALSE)="***",NA(),VLOOKUP(N45,PAB_CTB_Database!$B:$I,8,FALSE))</f>
        <v>0</v>
      </c>
      <c r="P45" s="32">
        <f>IF(VLOOKUP(N45,PAB_CTB_Database!$B:$J,9,FALSE)="***",NA(),VLOOKUP(N45,PAB_CTB_Database!$B:$J,9,FALSE))</f>
        <v>0</v>
      </c>
      <c r="Q45" s="32">
        <f>IF(VLOOKUP(N45,PAB_CTB_Database!$B:$K,10,FALSE)="***",NA(),VLOOKUP(N45,PAB_CTB_Database!$B:$K,10,FALSE))</f>
        <v>15144308.153685724</v>
      </c>
      <c r="R45" s="32">
        <f>IF(VLOOKUP(N45,PAB_CTB_Database!$B:$M,12,FALSE)="***",NA(),VLOOKUP(N45,PAB_CTB_Database!$B:$M,12,FALSE))</f>
        <v>0</v>
      </c>
      <c r="S45" s="32">
        <f>IF(VLOOKUP(N45,PAB_CTB_Database!$B:$N,13,FALSE)="***",NA(),VLOOKUP(N45,PAB_CTB_Database!$B:$N,13,FALSE))</f>
        <v>0</v>
      </c>
      <c r="U45" s="26">
        <f t="shared" si="2"/>
        <v>45900</v>
      </c>
      <c r="V45" s="26" t="str">
        <f t="shared" si="3"/>
        <v>iBoxx MSCI GBP Corporates Paris Aligned Capped TCA Index41</v>
      </c>
      <c r="W45" s="32" t="e">
        <f t="shared" si="4"/>
        <v>#N/A</v>
      </c>
      <c r="X45" s="32" t="e">
        <f t="shared" si="0"/>
        <v>#N/A</v>
      </c>
      <c r="Y45" s="32" t="e">
        <f t="shared" si="5"/>
        <v>#N/A</v>
      </c>
      <c r="Z45" s="32">
        <f t="shared" si="6"/>
        <v>15144308.153685724</v>
      </c>
      <c r="AA45" s="32" t="e">
        <f t="shared" si="7"/>
        <v>#N/A</v>
      </c>
      <c r="AL45" s="42"/>
      <c r="AM45" s="43"/>
      <c r="AO45" t="s">
        <v>221</v>
      </c>
    </row>
    <row r="46" spans="1:41" x14ac:dyDescent="0.35">
      <c r="A46">
        <v>42</v>
      </c>
      <c r="C46" s="26">
        <f ca="1"/>
        <v>45930</v>
      </c>
      <c r="D46" s="26"/>
      <c r="E46" t="str">
        <f ca="1"/>
        <v/>
      </c>
      <c r="F46" t="str">
        <f ca="1"/>
        <v/>
      </c>
      <c r="G46" t="str">
        <f ca="1"/>
        <v/>
      </c>
      <c r="M46" s="26">
        <f>'II. EU CTB &amp; PAB Report'!C69</f>
        <v>45930</v>
      </c>
      <c r="N46" s="26" t="str">
        <f>'II. EU CTB &amp; PAB Report'!$F$10&amp;REF!A46</f>
        <v>iBoxx MSCI GBP Corporates Paris Aligned Capped TCA Index42</v>
      </c>
      <c r="O46" s="32">
        <f>IF(VLOOKUP(N46,PAB_CTB_Database!$B:$I,8,FALSE)="***",NA(),VLOOKUP(N46,PAB_CTB_Database!$B:$I,8,FALSE))</f>
        <v>0</v>
      </c>
      <c r="P46" s="32">
        <f>IF(VLOOKUP(N46,PAB_CTB_Database!$B:$J,9,FALSE)="***",NA(),VLOOKUP(N46,PAB_CTB_Database!$B:$J,9,FALSE))</f>
        <v>0</v>
      </c>
      <c r="Q46" s="32">
        <f>IF(VLOOKUP(N46,PAB_CTB_Database!$B:$K,10,FALSE)="***",NA(),VLOOKUP(N46,PAB_CTB_Database!$B:$K,10,FALSE))</f>
        <v>15052998.454378793</v>
      </c>
      <c r="R46" s="32">
        <f>IF(VLOOKUP(N46,PAB_CTB_Database!$B:$M,12,FALSE)="***",NA(),VLOOKUP(N46,PAB_CTB_Database!$B:$M,12,FALSE))</f>
        <v>0</v>
      </c>
      <c r="S46" s="32">
        <f>IF(VLOOKUP(N46,PAB_CTB_Database!$B:$N,13,FALSE)="***",NA(),VLOOKUP(N46,PAB_CTB_Database!$B:$N,13,FALSE))</f>
        <v>0</v>
      </c>
      <c r="U46" s="26">
        <f t="shared" si="2"/>
        <v>45930</v>
      </c>
      <c r="V46" s="26" t="str">
        <f t="shared" si="3"/>
        <v>iBoxx MSCI GBP Corporates Paris Aligned Capped TCA Index42</v>
      </c>
      <c r="W46" s="32" t="e">
        <f t="shared" si="4"/>
        <v>#N/A</v>
      </c>
      <c r="X46" s="32" t="e">
        <f t="shared" si="0"/>
        <v>#N/A</v>
      </c>
      <c r="Y46" s="32" t="e">
        <f t="shared" si="5"/>
        <v>#N/A</v>
      </c>
      <c r="Z46" s="32">
        <f t="shared" si="6"/>
        <v>15052998.454378793</v>
      </c>
      <c r="AA46" s="32" t="e">
        <f t="shared" si="7"/>
        <v>#N/A</v>
      </c>
      <c r="AL46" s="42"/>
      <c r="AM46" s="43"/>
      <c r="AO46" t="s">
        <v>223</v>
      </c>
    </row>
    <row r="47" spans="1:41" x14ac:dyDescent="0.35">
      <c r="A47">
        <v>43</v>
      </c>
      <c r="C47" s="26">
        <f ca="1"/>
        <v>45961</v>
      </c>
      <c r="D47" s="26"/>
      <c r="E47" t="str">
        <f ca="1"/>
        <v/>
      </c>
      <c r="F47" t="str">
        <f ca="1"/>
        <v/>
      </c>
      <c r="G47" t="str">
        <f ca="1"/>
        <v/>
      </c>
      <c r="M47" s="26">
        <f>'II. EU CTB &amp; PAB Report'!C70</f>
        <v>45961</v>
      </c>
      <c r="N47" s="26" t="str">
        <f>'II. EU CTB &amp; PAB Report'!$F$10&amp;REF!A47</f>
        <v>iBoxx MSCI GBP Corporates Paris Aligned Capped TCA Index43</v>
      </c>
      <c r="O47" s="32">
        <f>IF(VLOOKUP(N47,PAB_CTB_Database!$B:$I,8,FALSE)="***",NA(),VLOOKUP(N47,PAB_CTB_Database!$B:$I,8,FALSE))</f>
        <v>0</v>
      </c>
      <c r="P47" s="32">
        <f>IF(VLOOKUP(N47,PAB_CTB_Database!$B:$J,9,FALSE)="***",NA(),VLOOKUP(N47,PAB_CTB_Database!$B:$J,9,FALSE))</f>
        <v>0</v>
      </c>
      <c r="Q47" s="32">
        <f>IF(VLOOKUP(N47,PAB_CTB_Database!$B:$K,10,FALSE)="***",NA(),VLOOKUP(N47,PAB_CTB_Database!$B:$K,10,FALSE))</f>
        <v>14962239.28937841</v>
      </c>
      <c r="R47" s="32">
        <f>IF(VLOOKUP(N47,PAB_CTB_Database!$B:$M,12,FALSE)="***",NA(),VLOOKUP(N47,PAB_CTB_Database!$B:$M,12,FALSE))</f>
        <v>0</v>
      </c>
      <c r="S47" s="32">
        <f>IF(VLOOKUP(N47,PAB_CTB_Database!$B:$N,13,FALSE)="***",NA(),VLOOKUP(N47,PAB_CTB_Database!$B:$N,13,FALSE))</f>
        <v>0</v>
      </c>
      <c r="U47" s="26">
        <f t="shared" si="2"/>
        <v>45961</v>
      </c>
      <c r="V47" s="26" t="str">
        <f t="shared" si="3"/>
        <v>iBoxx MSCI GBP Corporates Paris Aligned Capped TCA Index43</v>
      </c>
      <c r="W47" s="32" t="e">
        <f t="shared" si="4"/>
        <v>#N/A</v>
      </c>
      <c r="X47" s="32" t="e">
        <f t="shared" si="0"/>
        <v>#N/A</v>
      </c>
      <c r="Y47" s="32" t="e">
        <f t="shared" si="5"/>
        <v>#N/A</v>
      </c>
      <c r="Z47" s="32">
        <f t="shared" si="6"/>
        <v>14962239.28937841</v>
      </c>
      <c r="AA47" s="32" t="e">
        <f t="shared" si="7"/>
        <v>#N/A</v>
      </c>
      <c r="AL47" s="42"/>
      <c r="AM47" s="43"/>
      <c r="AO47" s="25" t="s">
        <v>225</v>
      </c>
    </row>
    <row r="48" spans="1:41" x14ac:dyDescent="0.35">
      <c r="A48">
        <v>44</v>
      </c>
      <c r="C48" s="26">
        <f ca="1"/>
        <v>45991</v>
      </c>
      <c r="D48" s="26"/>
      <c r="E48" t="str">
        <f ca="1"/>
        <v/>
      </c>
      <c r="F48" t="str">
        <f ca="1"/>
        <v/>
      </c>
      <c r="G48" t="str">
        <f ca="1"/>
        <v/>
      </c>
      <c r="M48" s="26">
        <f>'II. EU CTB &amp; PAB Report'!C71</f>
        <v>45991</v>
      </c>
      <c r="N48" s="26" t="str">
        <f>'II. EU CTB &amp; PAB Report'!$F$10&amp;REF!A48</f>
        <v>iBoxx MSCI GBP Corporates Paris Aligned Capped TCA Index44</v>
      </c>
      <c r="O48" s="32">
        <f>IF(VLOOKUP(N48,PAB_CTB_Database!$B:$I,8,FALSE)="***",NA(),VLOOKUP(N48,PAB_CTB_Database!$B:$I,8,FALSE))</f>
        <v>0</v>
      </c>
      <c r="P48" s="32">
        <f>IF(VLOOKUP(N48,PAB_CTB_Database!$B:$J,9,FALSE)="***",NA(),VLOOKUP(N48,PAB_CTB_Database!$B:$J,9,FALSE))</f>
        <v>0</v>
      </c>
      <c r="Q48" s="32">
        <f>IF(VLOOKUP(N48,PAB_CTB_Database!$B:$K,10,FALSE)="***",NA(),VLOOKUP(N48,PAB_CTB_Database!$B:$K,10,FALSE))</f>
        <v>14872027.339343643</v>
      </c>
      <c r="R48" s="32">
        <f>IF(VLOOKUP(N48,PAB_CTB_Database!$B:$M,12,FALSE)="***",NA(),VLOOKUP(N48,PAB_CTB_Database!$B:$M,12,FALSE))</f>
        <v>0</v>
      </c>
      <c r="S48" s="32">
        <f>IF(VLOOKUP(N48,PAB_CTB_Database!$B:$N,13,FALSE)="***",NA(),VLOOKUP(N48,PAB_CTB_Database!$B:$N,13,FALSE))</f>
        <v>0</v>
      </c>
      <c r="U48" s="26">
        <f t="shared" si="2"/>
        <v>45991</v>
      </c>
      <c r="V48" s="26" t="str">
        <f t="shared" si="3"/>
        <v>iBoxx MSCI GBP Corporates Paris Aligned Capped TCA Index44</v>
      </c>
      <c r="W48" s="32" t="e">
        <f t="shared" si="4"/>
        <v>#N/A</v>
      </c>
      <c r="X48" s="32" t="e">
        <f t="shared" si="0"/>
        <v>#N/A</v>
      </c>
      <c r="Y48" s="32" t="e">
        <f t="shared" si="5"/>
        <v>#N/A</v>
      </c>
      <c r="Z48" s="32">
        <f t="shared" si="6"/>
        <v>14872027.339343643</v>
      </c>
      <c r="AA48" s="32" t="e">
        <f t="shared" si="7"/>
        <v>#N/A</v>
      </c>
      <c r="AL48" s="42"/>
      <c r="AM48" s="43"/>
      <c r="AO48" t="s">
        <v>227</v>
      </c>
    </row>
    <row r="49" spans="1:41" x14ac:dyDescent="0.35">
      <c r="A49">
        <v>45</v>
      </c>
      <c r="C49" s="26">
        <f ca="1"/>
        <v>46022</v>
      </c>
      <c r="D49" s="26"/>
      <c r="E49" t="str">
        <f ca="1"/>
        <v/>
      </c>
      <c r="F49" t="str">
        <f ca="1"/>
        <v/>
      </c>
      <c r="G49" t="str">
        <f ca="1"/>
        <v/>
      </c>
      <c r="M49" s="26">
        <f>'II. EU CTB &amp; PAB Report'!C72</f>
        <v>46022</v>
      </c>
      <c r="N49" s="26" t="str">
        <f>'II. EU CTB &amp; PAB Report'!$F$10&amp;REF!A49</f>
        <v>iBoxx MSCI GBP Corporates Paris Aligned Capped TCA Index45</v>
      </c>
      <c r="O49" s="32">
        <f>IF(VLOOKUP(N49,PAB_CTB_Database!$B:$I,8,FALSE)="***",NA(),VLOOKUP(N49,PAB_CTB_Database!$B:$I,8,FALSE))</f>
        <v>0</v>
      </c>
      <c r="P49" s="32">
        <f>IF(VLOOKUP(N49,PAB_CTB_Database!$B:$J,9,FALSE)="***",NA(),VLOOKUP(N49,PAB_CTB_Database!$B:$J,9,FALSE))</f>
        <v>0</v>
      </c>
      <c r="Q49" s="32">
        <f>IF(VLOOKUP(N49,PAB_CTB_Database!$B:$K,10,FALSE)="***",NA(),VLOOKUP(N49,PAB_CTB_Database!$B:$K,10,FALSE))</f>
        <v>14782359.304946877</v>
      </c>
      <c r="R49" s="32">
        <f>IF(VLOOKUP(N49,PAB_CTB_Database!$B:$M,12,FALSE)="***",NA(),VLOOKUP(N49,PAB_CTB_Database!$B:$M,12,FALSE))</f>
        <v>0</v>
      </c>
      <c r="S49" s="32">
        <f>IF(VLOOKUP(N49,PAB_CTB_Database!$B:$N,13,FALSE)="***",NA(),VLOOKUP(N49,PAB_CTB_Database!$B:$N,13,FALSE))</f>
        <v>0</v>
      </c>
      <c r="U49" s="26">
        <f t="shared" si="2"/>
        <v>46022</v>
      </c>
      <c r="V49" s="26" t="str">
        <f t="shared" si="3"/>
        <v>iBoxx MSCI GBP Corporates Paris Aligned Capped TCA Index45</v>
      </c>
      <c r="W49" s="32" t="e">
        <f t="shared" si="4"/>
        <v>#N/A</v>
      </c>
      <c r="X49" s="32" t="e">
        <f t="shared" si="0"/>
        <v>#N/A</v>
      </c>
      <c r="Y49" s="32" t="e">
        <f t="shared" si="5"/>
        <v>#N/A</v>
      </c>
      <c r="Z49" s="32">
        <f t="shared" si="6"/>
        <v>14782359.304946877</v>
      </c>
      <c r="AA49" s="32" t="e">
        <f t="shared" si="7"/>
        <v>#N/A</v>
      </c>
      <c r="AL49" s="42"/>
      <c r="AM49" s="43"/>
      <c r="AO49" s="25" t="s">
        <v>229</v>
      </c>
    </row>
    <row r="50" spans="1:41" x14ac:dyDescent="0.35">
      <c r="A50">
        <v>46</v>
      </c>
      <c r="C50" s="26">
        <f ca="1"/>
        <v>46053</v>
      </c>
      <c r="D50" s="26"/>
      <c r="E50" t="str">
        <f ca="1"/>
        <v/>
      </c>
      <c r="F50" t="str">
        <f ca="1"/>
        <v/>
      </c>
      <c r="G50" t="str">
        <f ca="1"/>
        <v/>
      </c>
      <c r="M50" s="26">
        <f>'II. EU CTB &amp; PAB Report'!C73</f>
        <v>46053</v>
      </c>
      <c r="N50" s="26" t="str">
        <f>'II. EU CTB &amp; PAB Report'!$F$10&amp;REF!A50</f>
        <v>iBoxx MSCI GBP Corporates Paris Aligned Capped TCA Index46</v>
      </c>
      <c r="O50" s="32">
        <f>IF(VLOOKUP(N50,PAB_CTB_Database!$B:$I,8,FALSE)="***",NA(),VLOOKUP(N50,PAB_CTB_Database!$B:$I,8,FALSE))</f>
        <v>0</v>
      </c>
      <c r="P50" s="32">
        <f>IF(VLOOKUP(N50,PAB_CTB_Database!$B:$J,9,FALSE)="***",NA(),VLOOKUP(N50,PAB_CTB_Database!$B:$J,9,FALSE))</f>
        <v>0</v>
      </c>
      <c r="Q50" s="32">
        <f>IF(VLOOKUP(N50,PAB_CTB_Database!$B:$K,10,FALSE)="***",NA(),VLOOKUP(N50,PAB_CTB_Database!$B:$K,10,FALSE))</f>
        <v>14693231.906753175</v>
      </c>
      <c r="R50" s="32">
        <f>IF(VLOOKUP(N50,PAB_CTB_Database!$B:$M,12,FALSE)="***",NA(),VLOOKUP(N50,PAB_CTB_Database!$B:$M,12,FALSE))</f>
        <v>0</v>
      </c>
      <c r="S50" s="32">
        <f>IF(VLOOKUP(N50,PAB_CTB_Database!$B:$N,13,FALSE)="***",NA(),VLOOKUP(N50,PAB_CTB_Database!$B:$N,13,FALSE))</f>
        <v>0</v>
      </c>
      <c r="U50" s="26">
        <f t="shared" si="2"/>
        <v>46053</v>
      </c>
      <c r="V50" s="26" t="str">
        <f t="shared" si="3"/>
        <v>iBoxx MSCI GBP Corporates Paris Aligned Capped TCA Index46</v>
      </c>
      <c r="W50" s="32" t="e">
        <f t="shared" si="4"/>
        <v>#N/A</v>
      </c>
      <c r="X50" s="32" t="e">
        <f t="shared" si="0"/>
        <v>#N/A</v>
      </c>
      <c r="Y50" s="32" t="e">
        <f t="shared" si="5"/>
        <v>#N/A</v>
      </c>
      <c r="Z50" s="32">
        <f t="shared" si="6"/>
        <v>14693231.906753175</v>
      </c>
      <c r="AA50" s="32" t="e">
        <f t="shared" si="7"/>
        <v>#N/A</v>
      </c>
      <c r="AL50" s="42"/>
      <c r="AM50" s="43"/>
      <c r="AO50" t="s">
        <v>231</v>
      </c>
    </row>
    <row r="51" spans="1:41" x14ac:dyDescent="0.35">
      <c r="A51">
        <v>47</v>
      </c>
      <c r="C51" s="26">
        <f ca="1"/>
        <v>46081</v>
      </c>
      <c r="D51" s="26"/>
      <c r="E51" t="str">
        <f ca="1"/>
        <v/>
      </c>
      <c r="F51" t="str">
        <f ca="1"/>
        <v/>
      </c>
      <c r="G51" t="str">
        <f ca="1"/>
        <v/>
      </c>
      <c r="M51" s="26">
        <f>'II. EU CTB &amp; PAB Report'!C74</f>
        <v>46081</v>
      </c>
      <c r="N51" s="26" t="str">
        <f>'II. EU CTB &amp; PAB Report'!$F$10&amp;REF!A51</f>
        <v>iBoxx MSCI GBP Corporates Paris Aligned Capped TCA Index47</v>
      </c>
      <c r="O51" s="32">
        <f>IF(VLOOKUP(N51,PAB_CTB_Database!$B:$I,8,FALSE)="***",NA(),VLOOKUP(N51,PAB_CTB_Database!$B:$I,8,FALSE))</f>
        <v>0</v>
      </c>
      <c r="P51" s="32">
        <f>IF(VLOOKUP(N51,PAB_CTB_Database!$B:$J,9,FALSE)="***",NA(),VLOOKUP(N51,PAB_CTB_Database!$B:$J,9,FALSE))</f>
        <v>0</v>
      </c>
      <c r="Q51" s="32">
        <f>IF(VLOOKUP(N51,PAB_CTB_Database!$B:$K,10,FALSE)="***",NA(),VLOOKUP(N51,PAB_CTB_Database!$B:$K,10,FALSE))</f>
        <v>14604641.885100314</v>
      </c>
      <c r="R51" s="32">
        <f>IF(VLOOKUP(N51,PAB_CTB_Database!$B:$M,12,FALSE)="***",NA(),VLOOKUP(N51,PAB_CTB_Database!$B:$M,12,FALSE))</f>
        <v>0</v>
      </c>
      <c r="S51" s="32">
        <f>IF(VLOOKUP(N51,PAB_CTB_Database!$B:$N,13,FALSE)="***",NA(),VLOOKUP(N51,PAB_CTB_Database!$B:$N,13,FALSE))</f>
        <v>0</v>
      </c>
      <c r="U51" s="26">
        <f t="shared" si="2"/>
        <v>46081</v>
      </c>
      <c r="V51" s="26" t="str">
        <f t="shared" si="3"/>
        <v>iBoxx MSCI GBP Corporates Paris Aligned Capped TCA Index47</v>
      </c>
      <c r="W51" s="32" t="e">
        <f t="shared" si="4"/>
        <v>#N/A</v>
      </c>
      <c r="X51" s="32" t="e">
        <f t="shared" si="0"/>
        <v>#N/A</v>
      </c>
      <c r="Y51" s="32" t="e">
        <f t="shared" si="5"/>
        <v>#N/A</v>
      </c>
      <c r="Z51" s="32">
        <f t="shared" si="6"/>
        <v>14604641.885100314</v>
      </c>
      <c r="AA51" s="32" t="e">
        <f t="shared" si="7"/>
        <v>#N/A</v>
      </c>
      <c r="AL51" s="42"/>
      <c r="AM51" s="43"/>
      <c r="AO51" t="s">
        <v>233</v>
      </c>
    </row>
    <row r="52" spans="1:41" x14ac:dyDescent="0.35">
      <c r="A52">
        <v>48</v>
      </c>
      <c r="C52">
        <f ca="1"/>
        <v>46112</v>
      </c>
      <c r="E52" t="str">
        <f ca="1"/>
        <v/>
      </c>
      <c r="F52" t="str">
        <f ca="1"/>
        <v/>
      </c>
      <c r="G52" t="str">
        <f ca="1"/>
        <v/>
      </c>
      <c r="M52" s="26">
        <f>'II. EU CTB &amp; PAB Report'!C75</f>
        <v>46112</v>
      </c>
      <c r="N52" s="26" t="str">
        <f>'II. EU CTB &amp; PAB Report'!$F$10&amp;REF!A52</f>
        <v>iBoxx MSCI GBP Corporates Paris Aligned Capped TCA Index48</v>
      </c>
      <c r="O52" s="32">
        <f>IF(VLOOKUP(N52,PAB_CTB_Database!$B:$I,8,FALSE)="***",NA(),VLOOKUP(N52,PAB_CTB_Database!$B:$I,8,FALSE))</f>
        <v>0</v>
      </c>
      <c r="P52" s="32">
        <f>IF(VLOOKUP(N52,PAB_CTB_Database!$B:$J,9,FALSE)="***",NA(),VLOOKUP(N52,PAB_CTB_Database!$B:$J,9,FALSE))</f>
        <v>0</v>
      </c>
      <c r="Q52" s="32">
        <f>IF(VLOOKUP(N52,PAB_CTB_Database!$B:$K,10,FALSE)="***",NA(),VLOOKUP(N52,PAB_CTB_Database!$B:$K,10,FALSE))</f>
        <v>14516585.999979584</v>
      </c>
      <c r="R52" s="32">
        <f>IF(VLOOKUP(N52,PAB_CTB_Database!$B:$M,12,FALSE)="***",NA(),VLOOKUP(N52,PAB_CTB_Database!$B:$M,12,FALSE))</f>
        <v>0</v>
      </c>
      <c r="S52" s="32">
        <f>IF(VLOOKUP(N52,PAB_CTB_Database!$B:$N,13,FALSE)="***",NA(),VLOOKUP(N52,PAB_CTB_Database!$B:$N,13,FALSE))</f>
        <v>0</v>
      </c>
      <c r="U52" s="26">
        <f t="shared" ref="U52:U115" si="8">M52</f>
        <v>46112</v>
      </c>
      <c r="V52" s="26" t="str">
        <f t="shared" ref="V52:V115" si="9">N52</f>
        <v>iBoxx MSCI GBP Corporates Paris Aligned Capped TCA Index48</v>
      </c>
      <c r="W52" s="32" t="e">
        <f t="shared" ref="W52:W115" si="10">IF(O52=0,NA(),O52)</f>
        <v>#N/A</v>
      </c>
      <c r="X52" s="32" t="e">
        <f t="shared" ref="X52:X115" si="11">IF(S52=0,NA(),S52)</f>
        <v>#N/A</v>
      </c>
      <c r="Y52" s="32" t="e">
        <f t="shared" ref="Y52:Y115" si="12">IF(P52=0,NA(),P52)</f>
        <v>#N/A</v>
      </c>
      <c r="Z52" s="32">
        <f t="shared" ref="Z52:Z115" si="13">IF(Q52=0,NA(),Q52)</f>
        <v>14516585.999979584</v>
      </c>
      <c r="AA52" s="32" t="e">
        <f t="shared" ref="AA52:AA115" si="14">IF(R52=0,NA(),R52)</f>
        <v>#N/A</v>
      </c>
      <c r="AL52" s="42"/>
      <c r="AM52" s="43"/>
      <c r="AO52" t="s">
        <v>235</v>
      </c>
    </row>
    <row r="53" spans="1:41" x14ac:dyDescent="0.35">
      <c r="A53">
        <v>49</v>
      </c>
      <c r="C53">
        <f ca="1"/>
        <v>46142</v>
      </c>
      <c r="E53" t="str">
        <f ca="1"/>
        <v/>
      </c>
      <c r="F53" t="str">
        <f ca="1"/>
        <v/>
      </c>
      <c r="G53" t="str">
        <f ca="1"/>
        <v/>
      </c>
      <c r="M53" s="26">
        <f>'II. EU CTB &amp; PAB Report'!C76</f>
        <v>46142</v>
      </c>
      <c r="N53" s="26" t="str">
        <f>'II. EU CTB &amp; PAB Report'!$F$10&amp;REF!A53</f>
        <v>iBoxx MSCI GBP Corporates Paris Aligned Capped TCA Index49</v>
      </c>
      <c r="O53" s="32">
        <f>IF(VLOOKUP(N53,PAB_CTB_Database!$B:$I,8,FALSE)="***",NA(),VLOOKUP(N53,PAB_CTB_Database!$B:$I,8,FALSE))</f>
        <v>0</v>
      </c>
      <c r="P53" s="32">
        <f>IF(VLOOKUP(N53,PAB_CTB_Database!$B:$J,9,FALSE)="***",NA(),VLOOKUP(N53,PAB_CTB_Database!$B:$J,9,FALSE))</f>
        <v>0</v>
      </c>
      <c r="Q53" s="32">
        <f>IF(VLOOKUP(N53,PAB_CTB_Database!$B:$K,10,FALSE)="***",NA(),VLOOKUP(N53,PAB_CTB_Database!$B:$K,10,FALSE))</f>
        <v>14429061.030917283</v>
      </c>
      <c r="R53" s="32">
        <f>IF(VLOOKUP(N53,PAB_CTB_Database!$B:$M,12,FALSE)="***",NA(),VLOOKUP(N53,PAB_CTB_Database!$B:$M,12,FALSE))</f>
        <v>0</v>
      </c>
      <c r="S53" s="32">
        <f>IF(VLOOKUP(N53,PAB_CTB_Database!$B:$N,13,FALSE)="***",NA(),VLOOKUP(N53,PAB_CTB_Database!$B:$N,13,FALSE))</f>
        <v>0</v>
      </c>
      <c r="U53" s="26">
        <f t="shared" si="8"/>
        <v>46142</v>
      </c>
      <c r="V53" s="26" t="str">
        <f t="shared" si="9"/>
        <v>iBoxx MSCI GBP Corporates Paris Aligned Capped TCA Index49</v>
      </c>
      <c r="W53" s="32" t="e">
        <f t="shared" si="10"/>
        <v>#N/A</v>
      </c>
      <c r="X53" s="32" t="e">
        <f t="shared" si="11"/>
        <v>#N/A</v>
      </c>
      <c r="Y53" s="32" t="e">
        <f t="shared" si="12"/>
        <v>#N/A</v>
      </c>
      <c r="Z53" s="32">
        <f t="shared" si="13"/>
        <v>14429061.030917283</v>
      </c>
      <c r="AA53" s="32" t="e">
        <f t="shared" si="14"/>
        <v>#N/A</v>
      </c>
      <c r="AL53" s="42"/>
      <c r="AM53" s="43"/>
      <c r="AO53" t="s">
        <v>237</v>
      </c>
    </row>
    <row r="54" spans="1:41" x14ac:dyDescent="0.35">
      <c r="A54">
        <v>50</v>
      </c>
      <c r="C54">
        <f ca="1"/>
        <v>46173</v>
      </c>
      <c r="E54" t="str">
        <f ca="1"/>
        <v/>
      </c>
      <c r="F54" t="str">
        <f ca="1"/>
        <v/>
      </c>
      <c r="G54" t="str">
        <f ca="1"/>
        <v/>
      </c>
      <c r="M54" s="26">
        <f>'II. EU CTB &amp; PAB Report'!C77</f>
        <v>46173</v>
      </c>
      <c r="N54" s="26" t="str">
        <f>'II. EU CTB &amp; PAB Report'!$F$10&amp;REF!A54</f>
        <v>iBoxx MSCI GBP Corporates Paris Aligned Capped TCA Index50</v>
      </c>
      <c r="O54" s="32">
        <f>IF(VLOOKUP(N54,PAB_CTB_Database!$B:$I,8,FALSE)="***",NA(),VLOOKUP(N54,PAB_CTB_Database!$B:$I,8,FALSE))</f>
        <v>0</v>
      </c>
      <c r="P54" s="32">
        <f>IF(VLOOKUP(N54,PAB_CTB_Database!$B:$J,9,FALSE)="***",NA(),VLOOKUP(N54,PAB_CTB_Database!$B:$J,9,FALSE))</f>
        <v>0</v>
      </c>
      <c r="Q54" s="32">
        <f>IF(VLOOKUP(N54,PAB_CTB_Database!$B:$K,10,FALSE)="***",NA(),VLOOKUP(N54,PAB_CTB_Database!$B:$K,10,FALSE))</f>
        <v>14342063.776856933</v>
      </c>
      <c r="R54" s="32">
        <f>IF(VLOOKUP(N54,PAB_CTB_Database!$B:$M,12,FALSE)="***",NA(),VLOOKUP(N54,PAB_CTB_Database!$B:$M,12,FALSE))</f>
        <v>0</v>
      </c>
      <c r="S54" s="32">
        <f>IF(VLOOKUP(N54,PAB_CTB_Database!$B:$N,13,FALSE)="***",NA(),VLOOKUP(N54,PAB_CTB_Database!$B:$N,13,FALSE))</f>
        <v>0</v>
      </c>
      <c r="U54" s="26">
        <f t="shared" si="8"/>
        <v>46173</v>
      </c>
      <c r="V54" s="26" t="str">
        <f t="shared" si="9"/>
        <v>iBoxx MSCI GBP Corporates Paris Aligned Capped TCA Index50</v>
      </c>
      <c r="W54" s="32" t="e">
        <f t="shared" si="10"/>
        <v>#N/A</v>
      </c>
      <c r="X54" s="32" t="e">
        <f t="shared" si="11"/>
        <v>#N/A</v>
      </c>
      <c r="Y54" s="32" t="e">
        <f t="shared" si="12"/>
        <v>#N/A</v>
      </c>
      <c r="Z54" s="32">
        <f t="shared" si="13"/>
        <v>14342063.776856933</v>
      </c>
      <c r="AA54" s="32" t="e">
        <f t="shared" si="14"/>
        <v>#N/A</v>
      </c>
      <c r="AL54" s="42"/>
      <c r="AM54" s="43"/>
      <c r="AO54" t="s">
        <v>239</v>
      </c>
    </row>
    <row r="55" spans="1:41" x14ac:dyDescent="0.35">
      <c r="A55">
        <v>51</v>
      </c>
      <c r="C55">
        <f ca="1"/>
        <v>46203</v>
      </c>
      <c r="E55" t="str">
        <f ca="1"/>
        <v/>
      </c>
      <c r="F55" t="str">
        <f ca="1"/>
        <v/>
      </c>
      <c r="G55" t="str">
        <f ca="1"/>
        <v/>
      </c>
      <c r="M55" s="26">
        <f>'II. EU CTB &amp; PAB Report'!C78</f>
        <v>46203</v>
      </c>
      <c r="N55" s="26" t="str">
        <f>'II. EU CTB &amp; PAB Report'!$F$10&amp;REF!A55</f>
        <v>iBoxx MSCI GBP Corporates Paris Aligned Capped TCA Index51</v>
      </c>
      <c r="O55" s="32">
        <f>IF(VLOOKUP(N55,PAB_CTB_Database!$B:$I,8,FALSE)="***",NA(),VLOOKUP(N55,PAB_CTB_Database!$B:$I,8,FALSE))</f>
        <v>0</v>
      </c>
      <c r="P55" s="32">
        <f>IF(VLOOKUP(N55,PAB_CTB_Database!$B:$J,9,FALSE)="***",NA(),VLOOKUP(N55,PAB_CTB_Database!$B:$J,9,FALSE))</f>
        <v>0</v>
      </c>
      <c r="Q55" s="32">
        <f>IF(VLOOKUP(N55,PAB_CTB_Database!$B:$K,10,FALSE)="***",NA(),VLOOKUP(N55,PAB_CTB_Database!$B:$K,10,FALSE))</f>
        <v>14255591.056042224</v>
      </c>
      <c r="R55" s="32">
        <f>IF(VLOOKUP(N55,PAB_CTB_Database!$B:$M,12,FALSE)="***",NA(),VLOOKUP(N55,PAB_CTB_Database!$B:$M,12,FALSE))</f>
        <v>0</v>
      </c>
      <c r="S55" s="32">
        <f>IF(VLOOKUP(N55,PAB_CTB_Database!$B:$N,13,FALSE)="***",NA(),VLOOKUP(N55,PAB_CTB_Database!$B:$N,13,FALSE))</f>
        <v>0</v>
      </c>
      <c r="U55" s="26">
        <f t="shared" si="8"/>
        <v>46203</v>
      </c>
      <c r="V55" s="26" t="str">
        <f t="shared" si="9"/>
        <v>iBoxx MSCI GBP Corporates Paris Aligned Capped TCA Index51</v>
      </c>
      <c r="W55" s="32" t="e">
        <f t="shared" si="10"/>
        <v>#N/A</v>
      </c>
      <c r="X55" s="32" t="e">
        <f t="shared" si="11"/>
        <v>#N/A</v>
      </c>
      <c r="Y55" s="32" t="e">
        <f t="shared" si="12"/>
        <v>#N/A</v>
      </c>
      <c r="Z55" s="32">
        <f t="shared" si="13"/>
        <v>14255591.056042224</v>
      </c>
      <c r="AA55" s="32" t="e">
        <f t="shared" si="14"/>
        <v>#N/A</v>
      </c>
      <c r="AL55" s="42"/>
      <c r="AM55" s="43"/>
      <c r="AO55" t="s">
        <v>241</v>
      </c>
    </row>
    <row r="56" spans="1:41" x14ac:dyDescent="0.35">
      <c r="A56">
        <v>52</v>
      </c>
      <c r="C56">
        <f ca="1"/>
        <v>46234</v>
      </c>
      <c r="E56" t="str">
        <f ca="1"/>
        <v/>
      </c>
      <c r="F56" t="str">
        <f ca="1"/>
        <v/>
      </c>
      <c r="G56" t="str">
        <f ca="1"/>
        <v/>
      </c>
      <c r="M56" s="26">
        <f>'II. EU CTB &amp; PAB Report'!C79</f>
        <v>46234</v>
      </c>
      <c r="N56" s="26" t="str">
        <f>'II. EU CTB &amp; PAB Report'!$F$10&amp;REF!A56</f>
        <v>iBoxx MSCI GBP Corporates Paris Aligned Capped TCA Index52</v>
      </c>
      <c r="O56" s="32">
        <f>IF(VLOOKUP(N56,PAB_CTB_Database!$B:$I,8,FALSE)="***",NA(),VLOOKUP(N56,PAB_CTB_Database!$B:$I,8,FALSE))</f>
        <v>0</v>
      </c>
      <c r="P56" s="32">
        <f>IF(VLOOKUP(N56,PAB_CTB_Database!$B:$J,9,FALSE)="***",NA(),VLOOKUP(N56,PAB_CTB_Database!$B:$J,9,FALSE))</f>
        <v>0</v>
      </c>
      <c r="Q56" s="32">
        <f>IF(VLOOKUP(N56,PAB_CTB_Database!$B:$K,10,FALSE)="***",NA(),VLOOKUP(N56,PAB_CTB_Database!$B:$K,10,FALSE))</f>
        <v>14169639.705900623</v>
      </c>
      <c r="R56" s="32">
        <f>IF(VLOOKUP(N56,PAB_CTB_Database!$B:$M,12,FALSE)="***",NA(),VLOOKUP(N56,PAB_CTB_Database!$B:$M,12,FALSE))</f>
        <v>0</v>
      </c>
      <c r="S56" s="32">
        <f>IF(VLOOKUP(N56,PAB_CTB_Database!$B:$N,13,FALSE)="***",NA(),VLOOKUP(N56,PAB_CTB_Database!$B:$N,13,FALSE))</f>
        <v>0</v>
      </c>
      <c r="U56" s="26">
        <f t="shared" si="8"/>
        <v>46234</v>
      </c>
      <c r="V56" s="26" t="str">
        <f t="shared" si="9"/>
        <v>iBoxx MSCI GBP Corporates Paris Aligned Capped TCA Index52</v>
      </c>
      <c r="W56" s="32" t="e">
        <f t="shared" si="10"/>
        <v>#N/A</v>
      </c>
      <c r="X56" s="32" t="e">
        <f t="shared" si="11"/>
        <v>#N/A</v>
      </c>
      <c r="Y56" s="32" t="e">
        <f t="shared" si="12"/>
        <v>#N/A</v>
      </c>
      <c r="Z56" s="32">
        <f t="shared" si="13"/>
        <v>14169639.705900623</v>
      </c>
      <c r="AA56" s="32" t="e">
        <f t="shared" si="14"/>
        <v>#N/A</v>
      </c>
      <c r="AL56" s="42"/>
      <c r="AM56" s="43"/>
      <c r="AO56" t="s">
        <v>243</v>
      </c>
    </row>
    <row r="57" spans="1:41" x14ac:dyDescent="0.35">
      <c r="A57">
        <v>53</v>
      </c>
      <c r="C57">
        <f ca="1"/>
        <v>46265</v>
      </c>
      <c r="E57" t="str">
        <f ca="1"/>
        <v/>
      </c>
      <c r="F57" t="str">
        <f ca="1"/>
        <v/>
      </c>
      <c r="G57" t="str">
        <f ca="1"/>
        <v/>
      </c>
      <c r="M57" s="26">
        <f>'II. EU CTB &amp; PAB Report'!C80</f>
        <v>46265</v>
      </c>
      <c r="N57" s="26" t="str">
        <f>'II. EU CTB &amp; PAB Report'!$F$10&amp;REF!A57</f>
        <v>iBoxx MSCI GBP Corporates Paris Aligned Capped TCA Index53</v>
      </c>
      <c r="O57" s="32">
        <f>IF(VLOOKUP(N57,PAB_CTB_Database!$B:$I,8,FALSE)="***",NA(),VLOOKUP(N57,PAB_CTB_Database!$B:$I,8,FALSE))</f>
        <v>0</v>
      </c>
      <c r="P57" s="32">
        <f>IF(VLOOKUP(N57,PAB_CTB_Database!$B:$J,9,FALSE)="***",NA(),VLOOKUP(N57,PAB_CTB_Database!$B:$J,9,FALSE))</f>
        <v>0</v>
      </c>
      <c r="Q57" s="32">
        <f>IF(VLOOKUP(N57,PAB_CTB_Database!$B:$K,10,FALSE)="***",NA(),VLOOKUP(N57,PAB_CTB_Database!$B:$K,10,FALSE))</f>
        <v>14084206.582927722</v>
      </c>
      <c r="R57" s="32">
        <f>IF(VLOOKUP(N57,PAB_CTB_Database!$B:$M,12,FALSE)="***",NA(),VLOOKUP(N57,PAB_CTB_Database!$B:$M,12,FALSE))</f>
        <v>0</v>
      </c>
      <c r="S57" s="32">
        <f>IF(VLOOKUP(N57,PAB_CTB_Database!$B:$N,13,FALSE)="***",NA(),VLOOKUP(N57,PAB_CTB_Database!$B:$N,13,FALSE))</f>
        <v>0</v>
      </c>
      <c r="U57" s="26">
        <f t="shared" si="8"/>
        <v>46265</v>
      </c>
      <c r="V57" s="26" t="str">
        <f t="shared" si="9"/>
        <v>iBoxx MSCI GBP Corporates Paris Aligned Capped TCA Index53</v>
      </c>
      <c r="W57" s="32" t="e">
        <f t="shared" si="10"/>
        <v>#N/A</v>
      </c>
      <c r="X57" s="32" t="e">
        <f t="shared" si="11"/>
        <v>#N/A</v>
      </c>
      <c r="Y57" s="32" t="e">
        <f t="shared" si="12"/>
        <v>#N/A</v>
      </c>
      <c r="Z57" s="32">
        <f t="shared" si="13"/>
        <v>14084206.582927722</v>
      </c>
      <c r="AA57" s="32" t="e">
        <f t="shared" si="14"/>
        <v>#N/A</v>
      </c>
      <c r="AL57" s="42"/>
      <c r="AM57" s="43"/>
      <c r="AO57" t="s">
        <v>245</v>
      </c>
    </row>
    <row r="58" spans="1:41" x14ac:dyDescent="0.35">
      <c r="A58">
        <v>54</v>
      </c>
      <c r="C58">
        <f ca="1"/>
        <v>46295</v>
      </c>
      <c r="E58" t="str">
        <f ca="1"/>
        <v/>
      </c>
      <c r="F58" t="str">
        <f ca="1"/>
        <v/>
      </c>
      <c r="G58" t="str">
        <f ca="1"/>
        <v/>
      </c>
      <c r="M58" s="26">
        <f>'II. EU CTB &amp; PAB Report'!C81</f>
        <v>46295</v>
      </c>
      <c r="N58" s="26" t="str">
        <f>'II. EU CTB &amp; PAB Report'!$F$10&amp;REF!A58</f>
        <v>iBoxx MSCI GBP Corporates Paris Aligned Capped TCA Index54</v>
      </c>
      <c r="O58" s="32">
        <f>IF(VLOOKUP(N58,PAB_CTB_Database!$B:$I,8,FALSE)="***",NA(),VLOOKUP(N58,PAB_CTB_Database!$B:$I,8,FALSE))</f>
        <v>0</v>
      </c>
      <c r="P58" s="32">
        <f>IF(VLOOKUP(N58,PAB_CTB_Database!$B:$J,9,FALSE)="***",NA(),VLOOKUP(N58,PAB_CTB_Database!$B:$J,9,FALSE))</f>
        <v>0</v>
      </c>
      <c r="Q58" s="32">
        <f>IF(VLOOKUP(N58,PAB_CTB_Database!$B:$K,10,FALSE)="***",NA(),VLOOKUP(N58,PAB_CTB_Database!$B:$K,10,FALSE))</f>
        <v>13999288.562572278</v>
      </c>
      <c r="R58" s="32">
        <f>IF(VLOOKUP(N58,PAB_CTB_Database!$B:$M,12,FALSE)="***",NA(),VLOOKUP(N58,PAB_CTB_Database!$B:$M,12,FALSE))</f>
        <v>0</v>
      </c>
      <c r="S58" s="32">
        <f>IF(VLOOKUP(N58,PAB_CTB_Database!$B:$N,13,FALSE)="***",NA(),VLOOKUP(N58,PAB_CTB_Database!$B:$N,13,FALSE))</f>
        <v>0</v>
      </c>
      <c r="U58" s="26">
        <f t="shared" si="8"/>
        <v>46295</v>
      </c>
      <c r="V58" s="26" t="str">
        <f t="shared" si="9"/>
        <v>iBoxx MSCI GBP Corporates Paris Aligned Capped TCA Index54</v>
      </c>
      <c r="W58" s="32" t="e">
        <f t="shared" si="10"/>
        <v>#N/A</v>
      </c>
      <c r="X58" s="32" t="e">
        <f t="shared" si="11"/>
        <v>#N/A</v>
      </c>
      <c r="Y58" s="32" t="e">
        <f t="shared" si="12"/>
        <v>#N/A</v>
      </c>
      <c r="Z58" s="32">
        <f t="shared" si="13"/>
        <v>13999288.562572278</v>
      </c>
      <c r="AA58" s="32" t="e">
        <f t="shared" si="14"/>
        <v>#N/A</v>
      </c>
      <c r="AL58" s="42"/>
      <c r="AM58" s="43"/>
      <c r="AO58" t="s">
        <v>246</v>
      </c>
    </row>
    <row r="59" spans="1:41" x14ac:dyDescent="0.35">
      <c r="A59">
        <v>55</v>
      </c>
      <c r="C59">
        <f ca="1"/>
        <v>46326</v>
      </c>
      <c r="E59" t="str">
        <f ca="1"/>
        <v/>
      </c>
      <c r="F59" t="str">
        <f ca="1"/>
        <v/>
      </c>
      <c r="G59" t="str">
        <f ca="1"/>
        <v/>
      </c>
      <c r="M59" s="26">
        <f>'II. EU CTB &amp; PAB Report'!C82</f>
        <v>46326</v>
      </c>
      <c r="N59" s="26" t="str">
        <f>'II. EU CTB &amp; PAB Report'!$F$10&amp;REF!A59</f>
        <v>iBoxx MSCI GBP Corporates Paris Aligned Capped TCA Index55</v>
      </c>
      <c r="O59" s="32">
        <f>IF(VLOOKUP(N59,PAB_CTB_Database!$B:$I,8,FALSE)="***",NA(),VLOOKUP(N59,PAB_CTB_Database!$B:$I,8,FALSE))</f>
        <v>0</v>
      </c>
      <c r="P59" s="32">
        <f>IF(VLOOKUP(N59,PAB_CTB_Database!$B:$J,9,FALSE)="***",NA(),VLOOKUP(N59,PAB_CTB_Database!$B:$J,9,FALSE))</f>
        <v>0</v>
      </c>
      <c r="Q59" s="32">
        <f>IF(VLOOKUP(N59,PAB_CTB_Database!$B:$K,10,FALSE)="***",NA(),VLOOKUP(N59,PAB_CTB_Database!$B:$K,10,FALSE))</f>
        <v>13914882.539121924</v>
      </c>
      <c r="R59" s="32">
        <f>IF(VLOOKUP(N59,PAB_CTB_Database!$B:$M,12,FALSE)="***",NA(),VLOOKUP(N59,PAB_CTB_Database!$B:$M,12,FALSE))</f>
        <v>0</v>
      </c>
      <c r="S59" s="32">
        <f>IF(VLOOKUP(N59,PAB_CTB_Database!$B:$N,13,FALSE)="***",NA(),VLOOKUP(N59,PAB_CTB_Database!$B:$N,13,FALSE))</f>
        <v>0</v>
      </c>
      <c r="U59" s="26">
        <f t="shared" si="8"/>
        <v>46326</v>
      </c>
      <c r="V59" s="26" t="str">
        <f t="shared" si="9"/>
        <v>iBoxx MSCI GBP Corporates Paris Aligned Capped TCA Index55</v>
      </c>
      <c r="W59" s="32" t="e">
        <f t="shared" si="10"/>
        <v>#N/A</v>
      </c>
      <c r="X59" s="32" t="e">
        <f t="shared" si="11"/>
        <v>#N/A</v>
      </c>
      <c r="Y59" s="32" t="e">
        <f t="shared" si="12"/>
        <v>#N/A</v>
      </c>
      <c r="Z59" s="32">
        <f t="shared" si="13"/>
        <v>13914882.539121924</v>
      </c>
      <c r="AA59" s="32" t="e">
        <f t="shared" si="14"/>
        <v>#N/A</v>
      </c>
      <c r="AL59" s="42"/>
      <c r="AM59" s="43"/>
      <c r="AO59" t="s">
        <v>247</v>
      </c>
    </row>
    <row r="60" spans="1:41" x14ac:dyDescent="0.35">
      <c r="A60">
        <v>56</v>
      </c>
      <c r="C60">
        <f ca="1"/>
        <v>46356</v>
      </c>
      <c r="E60" t="str">
        <f ca="1"/>
        <v/>
      </c>
      <c r="F60" t="str">
        <f ca="1"/>
        <v/>
      </c>
      <c r="G60" t="str">
        <f ca="1"/>
        <v/>
      </c>
      <c r="M60" s="26">
        <f>'II. EU CTB &amp; PAB Report'!C83</f>
        <v>46356</v>
      </c>
      <c r="N60" s="26" t="str">
        <f>'II. EU CTB &amp; PAB Report'!$F$10&amp;REF!A60</f>
        <v>iBoxx MSCI GBP Corporates Paris Aligned Capped TCA Index56</v>
      </c>
      <c r="O60" s="32">
        <f>IF(VLOOKUP(N60,PAB_CTB_Database!$B:$I,8,FALSE)="***",NA(),VLOOKUP(N60,PAB_CTB_Database!$B:$I,8,FALSE))</f>
        <v>0</v>
      </c>
      <c r="P60" s="32">
        <f>IF(VLOOKUP(N60,PAB_CTB_Database!$B:$J,9,FALSE)="***",NA(),VLOOKUP(N60,PAB_CTB_Database!$B:$J,9,FALSE))</f>
        <v>0</v>
      </c>
      <c r="Q60" s="32">
        <f>IF(VLOOKUP(N60,PAB_CTB_Database!$B:$K,10,FALSE)="***",NA(),VLOOKUP(N60,PAB_CTB_Database!$B:$K,10,FALSE))</f>
        <v>13830985.425589588</v>
      </c>
      <c r="R60" s="32">
        <f>IF(VLOOKUP(N60,PAB_CTB_Database!$B:$M,12,FALSE)="***",NA(),VLOOKUP(N60,PAB_CTB_Database!$B:$M,12,FALSE))</f>
        <v>0</v>
      </c>
      <c r="S60" s="32">
        <f>IF(VLOOKUP(N60,PAB_CTB_Database!$B:$N,13,FALSE)="***",NA(),VLOOKUP(N60,PAB_CTB_Database!$B:$N,13,FALSE))</f>
        <v>0</v>
      </c>
      <c r="U60" s="26">
        <f t="shared" si="8"/>
        <v>46356</v>
      </c>
      <c r="V60" s="26" t="str">
        <f t="shared" si="9"/>
        <v>iBoxx MSCI GBP Corporates Paris Aligned Capped TCA Index56</v>
      </c>
      <c r="W60" s="32" t="e">
        <f t="shared" si="10"/>
        <v>#N/A</v>
      </c>
      <c r="X60" s="32" t="e">
        <f t="shared" si="11"/>
        <v>#N/A</v>
      </c>
      <c r="Y60" s="32" t="e">
        <f t="shared" si="12"/>
        <v>#N/A</v>
      </c>
      <c r="Z60" s="32">
        <f t="shared" si="13"/>
        <v>13830985.425589588</v>
      </c>
      <c r="AA60" s="32" t="e">
        <f t="shared" si="14"/>
        <v>#N/A</v>
      </c>
      <c r="AL60" s="42"/>
      <c r="AM60" s="43"/>
      <c r="AO60" t="s">
        <v>249</v>
      </c>
    </row>
    <row r="61" spans="1:41" x14ac:dyDescent="0.35">
      <c r="A61">
        <v>57</v>
      </c>
      <c r="C61">
        <f ca="1"/>
        <v>46387</v>
      </c>
      <c r="E61" t="str">
        <f ca="1"/>
        <v/>
      </c>
      <c r="F61" t="str">
        <f ca="1"/>
        <v/>
      </c>
      <c r="G61" t="str">
        <f ca="1"/>
        <v/>
      </c>
      <c r="M61" s="26">
        <f>'II. EU CTB &amp; PAB Report'!C84</f>
        <v>46387</v>
      </c>
      <c r="N61" s="26" t="str">
        <f>'II. EU CTB &amp; PAB Report'!$F$10&amp;REF!A61</f>
        <v>iBoxx MSCI GBP Corporates Paris Aligned Capped TCA Index57</v>
      </c>
      <c r="O61" s="32">
        <f>IF(VLOOKUP(N61,PAB_CTB_Database!$B:$I,8,FALSE)="***",NA(),VLOOKUP(N61,PAB_CTB_Database!$B:$I,8,FALSE))</f>
        <v>0</v>
      </c>
      <c r="P61" s="32">
        <f>IF(VLOOKUP(N61,PAB_CTB_Database!$B:$J,9,FALSE)="***",NA(),VLOOKUP(N61,PAB_CTB_Database!$B:$J,9,FALSE))</f>
        <v>0</v>
      </c>
      <c r="Q61" s="32">
        <f>IF(VLOOKUP(N61,PAB_CTB_Database!$B:$K,10,FALSE)="***",NA(),VLOOKUP(N61,PAB_CTB_Database!$B:$K,10,FALSE))</f>
        <v>13747594.153600596</v>
      </c>
      <c r="R61" s="32">
        <f>IF(VLOOKUP(N61,PAB_CTB_Database!$B:$M,12,FALSE)="***",NA(),VLOOKUP(N61,PAB_CTB_Database!$B:$M,12,FALSE))</f>
        <v>0</v>
      </c>
      <c r="S61" s="32">
        <f>IF(VLOOKUP(N61,PAB_CTB_Database!$B:$N,13,FALSE)="***",NA(),VLOOKUP(N61,PAB_CTB_Database!$B:$N,13,FALSE))</f>
        <v>0</v>
      </c>
      <c r="U61" s="26">
        <f t="shared" si="8"/>
        <v>46387</v>
      </c>
      <c r="V61" s="26" t="str">
        <f t="shared" si="9"/>
        <v>iBoxx MSCI GBP Corporates Paris Aligned Capped TCA Index57</v>
      </c>
      <c r="W61" s="32" t="e">
        <f t="shared" si="10"/>
        <v>#N/A</v>
      </c>
      <c r="X61" s="32" t="e">
        <f t="shared" si="11"/>
        <v>#N/A</v>
      </c>
      <c r="Y61" s="32" t="e">
        <f t="shared" si="12"/>
        <v>#N/A</v>
      </c>
      <c r="Z61" s="32">
        <f t="shared" si="13"/>
        <v>13747594.153600596</v>
      </c>
      <c r="AA61" s="32" t="e">
        <f t="shared" si="14"/>
        <v>#N/A</v>
      </c>
      <c r="AL61" s="42"/>
      <c r="AM61" s="43"/>
      <c r="AO61" t="s">
        <v>251</v>
      </c>
    </row>
    <row r="62" spans="1:41" x14ac:dyDescent="0.35">
      <c r="A62">
        <v>58</v>
      </c>
      <c r="C62">
        <f ca="1"/>
        <v>46418</v>
      </c>
      <c r="E62" t="str">
        <f ca="1"/>
        <v/>
      </c>
      <c r="F62" t="str">
        <f ca="1"/>
        <v/>
      </c>
      <c r="G62" t="str">
        <f ca="1"/>
        <v/>
      </c>
      <c r="M62" s="26">
        <f>'II. EU CTB &amp; PAB Report'!C85</f>
        <v>46418</v>
      </c>
      <c r="N62" s="26" t="str">
        <f>'II. EU CTB &amp; PAB Report'!$F$10&amp;REF!A62</f>
        <v>iBoxx MSCI GBP Corporates Paris Aligned Capped TCA Index58</v>
      </c>
      <c r="O62" s="32">
        <f>IF(VLOOKUP(N62,PAB_CTB_Database!$B:$I,8,FALSE)="***",NA(),VLOOKUP(N62,PAB_CTB_Database!$B:$I,8,FALSE))</f>
        <v>0</v>
      </c>
      <c r="P62" s="32">
        <f>IF(VLOOKUP(N62,PAB_CTB_Database!$B:$J,9,FALSE)="***",NA(),VLOOKUP(N62,PAB_CTB_Database!$B:$J,9,FALSE))</f>
        <v>0</v>
      </c>
      <c r="Q62" s="32">
        <f>IF(VLOOKUP(N62,PAB_CTB_Database!$B:$K,10,FALSE)="***",NA(),VLOOKUP(N62,PAB_CTB_Database!$B:$K,10,FALSE))</f>
        <v>13664705.673280453</v>
      </c>
      <c r="R62" s="32">
        <f>IF(VLOOKUP(N62,PAB_CTB_Database!$B:$M,12,FALSE)="***",NA(),VLOOKUP(N62,PAB_CTB_Database!$B:$M,12,FALSE))</f>
        <v>0</v>
      </c>
      <c r="S62" s="32">
        <f>IF(VLOOKUP(N62,PAB_CTB_Database!$B:$N,13,FALSE)="***",NA(),VLOOKUP(N62,PAB_CTB_Database!$B:$N,13,FALSE))</f>
        <v>0</v>
      </c>
      <c r="U62" s="26">
        <f t="shared" si="8"/>
        <v>46418</v>
      </c>
      <c r="V62" s="26" t="str">
        <f t="shared" si="9"/>
        <v>iBoxx MSCI GBP Corporates Paris Aligned Capped TCA Index58</v>
      </c>
      <c r="W62" s="32" t="e">
        <f t="shared" si="10"/>
        <v>#N/A</v>
      </c>
      <c r="X62" s="32" t="e">
        <f t="shared" si="11"/>
        <v>#N/A</v>
      </c>
      <c r="Y62" s="32" t="e">
        <f t="shared" si="12"/>
        <v>#N/A</v>
      </c>
      <c r="Z62" s="32">
        <f t="shared" si="13"/>
        <v>13664705.673280453</v>
      </c>
      <c r="AA62" s="32" t="e">
        <f t="shared" si="14"/>
        <v>#N/A</v>
      </c>
      <c r="AL62" s="42"/>
      <c r="AM62" s="43"/>
      <c r="AO62" t="s">
        <v>253</v>
      </c>
    </row>
    <row r="63" spans="1:41" x14ac:dyDescent="0.35">
      <c r="A63">
        <v>59</v>
      </c>
      <c r="C63">
        <f ca="1"/>
        <v>46446</v>
      </c>
      <c r="E63" t="str">
        <f ca="1"/>
        <v/>
      </c>
      <c r="F63" t="str">
        <f ca="1"/>
        <v/>
      </c>
      <c r="G63" t="str">
        <f ca="1"/>
        <v/>
      </c>
      <c r="M63" s="26">
        <f>'II. EU CTB &amp; PAB Report'!C86</f>
        <v>46446</v>
      </c>
      <c r="N63" s="26" t="str">
        <f>'II. EU CTB &amp; PAB Report'!$F$10&amp;REF!A63</f>
        <v>iBoxx MSCI GBP Corporates Paris Aligned Capped TCA Index59</v>
      </c>
      <c r="O63" s="32">
        <f>IF(VLOOKUP(N63,PAB_CTB_Database!$B:$I,8,FALSE)="***",NA(),VLOOKUP(N63,PAB_CTB_Database!$B:$I,8,FALSE))</f>
        <v>0</v>
      </c>
      <c r="P63" s="32">
        <f>IF(VLOOKUP(N63,PAB_CTB_Database!$B:$J,9,FALSE)="***",NA(),VLOOKUP(N63,PAB_CTB_Database!$B:$J,9,FALSE))</f>
        <v>0</v>
      </c>
      <c r="Q63" s="32">
        <f>IF(VLOOKUP(N63,PAB_CTB_Database!$B:$K,10,FALSE)="***",NA(),VLOOKUP(N63,PAB_CTB_Database!$B:$K,10,FALSE))</f>
        <v>13582316.953143291</v>
      </c>
      <c r="R63" s="32">
        <f>IF(VLOOKUP(N63,PAB_CTB_Database!$B:$M,12,FALSE)="***",NA(),VLOOKUP(N63,PAB_CTB_Database!$B:$M,12,FALSE))</f>
        <v>0</v>
      </c>
      <c r="S63" s="32">
        <f>IF(VLOOKUP(N63,PAB_CTB_Database!$B:$N,13,FALSE)="***",NA(),VLOOKUP(N63,PAB_CTB_Database!$B:$N,13,FALSE))</f>
        <v>0</v>
      </c>
      <c r="U63" s="26">
        <f t="shared" si="8"/>
        <v>46446</v>
      </c>
      <c r="V63" s="26" t="str">
        <f t="shared" si="9"/>
        <v>iBoxx MSCI GBP Corporates Paris Aligned Capped TCA Index59</v>
      </c>
      <c r="W63" s="32" t="e">
        <f t="shared" si="10"/>
        <v>#N/A</v>
      </c>
      <c r="X63" s="32" t="e">
        <f t="shared" si="11"/>
        <v>#N/A</v>
      </c>
      <c r="Y63" s="32" t="e">
        <f t="shared" si="12"/>
        <v>#N/A</v>
      </c>
      <c r="Z63" s="32">
        <f t="shared" si="13"/>
        <v>13582316.953143291</v>
      </c>
      <c r="AA63" s="32" t="e">
        <f t="shared" si="14"/>
        <v>#N/A</v>
      </c>
      <c r="AO63" t="s">
        <v>255</v>
      </c>
    </row>
    <row r="64" spans="1:41" x14ac:dyDescent="0.35">
      <c r="A64">
        <v>60</v>
      </c>
      <c r="C64">
        <f ca="1"/>
        <v>46477</v>
      </c>
      <c r="E64" t="str">
        <f ca="1"/>
        <v/>
      </c>
      <c r="F64" t="str">
        <f ca="1"/>
        <v/>
      </c>
      <c r="G64" t="str">
        <f ca="1"/>
        <v/>
      </c>
      <c r="M64" s="26">
        <f>'II. EU CTB &amp; PAB Report'!C87</f>
        <v>46477</v>
      </c>
      <c r="N64" s="26" t="str">
        <f>'II. EU CTB &amp; PAB Report'!$F$10&amp;REF!A64</f>
        <v>iBoxx MSCI GBP Corporates Paris Aligned Capped TCA Index60</v>
      </c>
      <c r="O64" s="32">
        <f>IF(VLOOKUP(N64,PAB_CTB_Database!$B:$I,8,FALSE)="***",NA(),VLOOKUP(N64,PAB_CTB_Database!$B:$I,8,FALSE))</f>
        <v>0</v>
      </c>
      <c r="P64" s="32">
        <f>IF(VLOOKUP(N64,PAB_CTB_Database!$B:$J,9,FALSE)="***",NA(),VLOOKUP(N64,PAB_CTB_Database!$B:$J,9,FALSE))</f>
        <v>0</v>
      </c>
      <c r="Q64" s="32">
        <f>IF(VLOOKUP(N64,PAB_CTB_Database!$B:$K,10,FALSE)="***",NA(),VLOOKUP(N64,PAB_CTB_Database!$B:$K,10,FALSE))</f>
        <v>13500424.979981015</v>
      </c>
      <c r="R64" s="32">
        <f>IF(VLOOKUP(N64,PAB_CTB_Database!$B:$M,12,FALSE)="***",NA(),VLOOKUP(N64,PAB_CTB_Database!$B:$M,12,FALSE))</f>
        <v>0</v>
      </c>
      <c r="S64" s="32">
        <f>IF(VLOOKUP(N64,PAB_CTB_Database!$B:$N,13,FALSE)="***",NA(),VLOOKUP(N64,PAB_CTB_Database!$B:$N,13,FALSE))</f>
        <v>0</v>
      </c>
      <c r="U64" s="26">
        <f t="shared" si="8"/>
        <v>46477</v>
      </c>
      <c r="V64" s="26" t="str">
        <f t="shared" si="9"/>
        <v>iBoxx MSCI GBP Corporates Paris Aligned Capped TCA Index60</v>
      </c>
      <c r="W64" s="32" t="e">
        <f t="shared" si="10"/>
        <v>#N/A</v>
      </c>
      <c r="X64" s="32" t="e">
        <f t="shared" si="11"/>
        <v>#N/A</v>
      </c>
      <c r="Y64" s="32" t="e">
        <f t="shared" si="12"/>
        <v>#N/A</v>
      </c>
      <c r="Z64" s="32">
        <f t="shared" si="13"/>
        <v>13500424.979981015</v>
      </c>
      <c r="AA64" s="32" t="e">
        <f t="shared" si="14"/>
        <v>#N/A</v>
      </c>
      <c r="AO64" t="s">
        <v>257</v>
      </c>
    </row>
    <row r="65" spans="1:41" x14ac:dyDescent="0.35">
      <c r="A65">
        <v>61</v>
      </c>
      <c r="C65">
        <f ca="1"/>
        <v>46507</v>
      </c>
      <c r="E65" t="str">
        <f ca="1"/>
        <v/>
      </c>
      <c r="F65" t="str">
        <f ca="1"/>
        <v/>
      </c>
      <c r="G65" t="str">
        <f ca="1"/>
        <v/>
      </c>
      <c r="M65" s="26">
        <f>'II. EU CTB &amp; PAB Report'!C88</f>
        <v>46507</v>
      </c>
      <c r="N65" s="26" t="str">
        <f>'II. EU CTB &amp; PAB Report'!$F$10&amp;REF!A65</f>
        <v>iBoxx MSCI GBP Corporates Paris Aligned Capped TCA Index61</v>
      </c>
      <c r="O65" s="32">
        <f>IF(VLOOKUP(N65,PAB_CTB_Database!$B:$I,8,FALSE)="***",NA(),VLOOKUP(N65,PAB_CTB_Database!$B:$I,8,FALSE))</f>
        <v>0</v>
      </c>
      <c r="P65" s="32">
        <f>IF(VLOOKUP(N65,PAB_CTB_Database!$B:$J,9,FALSE)="***",NA(),VLOOKUP(N65,PAB_CTB_Database!$B:$J,9,FALSE))</f>
        <v>0</v>
      </c>
      <c r="Q65" s="32">
        <f>IF(VLOOKUP(N65,PAB_CTB_Database!$B:$K,10,FALSE)="***",NA(),VLOOKUP(N65,PAB_CTB_Database!$B:$K,10,FALSE))</f>
        <v>13419026.758753072</v>
      </c>
      <c r="R65" s="32">
        <f>IF(VLOOKUP(N65,PAB_CTB_Database!$B:$M,12,FALSE)="***",NA(),VLOOKUP(N65,PAB_CTB_Database!$B:$M,12,FALSE))</f>
        <v>0</v>
      </c>
      <c r="S65" s="32">
        <f>IF(VLOOKUP(N65,PAB_CTB_Database!$B:$N,13,FALSE)="***",NA(),VLOOKUP(N65,PAB_CTB_Database!$B:$N,13,FALSE))</f>
        <v>0</v>
      </c>
      <c r="U65" s="26">
        <f t="shared" si="8"/>
        <v>46507</v>
      </c>
      <c r="V65" s="26" t="str">
        <f t="shared" si="9"/>
        <v>iBoxx MSCI GBP Corporates Paris Aligned Capped TCA Index61</v>
      </c>
      <c r="W65" s="32" t="e">
        <f t="shared" si="10"/>
        <v>#N/A</v>
      </c>
      <c r="X65" s="32" t="e">
        <f t="shared" si="11"/>
        <v>#N/A</v>
      </c>
      <c r="Y65" s="32" t="e">
        <f t="shared" si="12"/>
        <v>#N/A</v>
      </c>
      <c r="Z65" s="32">
        <f t="shared" si="13"/>
        <v>13419026.758753072</v>
      </c>
      <c r="AA65" s="32" t="e">
        <f t="shared" si="14"/>
        <v>#N/A</v>
      </c>
      <c r="AO65" t="s">
        <v>259</v>
      </c>
    </row>
    <row r="66" spans="1:41" x14ac:dyDescent="0.35">
      <c r="A66">
        <v>62</v>
      </c>
      <c r="C66">
        <f ca="1"/>
        <v>46538</v>
      </c>
      <c r="E66" t="str">
        <f ca="1"/>
        <v/>
      </c>
      <c r="F66" t="str">
        <f ca="1"/>
        <v/>
      </c>
      <c r="G66" t="str">
        <f ca="1"/>
        <v/>
      </c>
      <c r="M66" s="26">
        <f>'II. EU CTB &amp; PAB Report'!C89</f>
        <v>46538</v>
      </c>
      <c r="N66" s="26" t="str">
        <f>'II. EU CTB &amp; PAB Report'!$F$10&amp;REF!A66</f>
        <v>iBoxx MSCI GBP Corporates Paris Aligned Capped TCA Index62</v>
      </c>
      <c r="O66" s="32">
        <f>IF(VLOOKUP(N66,PAB_CTB_Database!$B:$I,8,FALSE)="***",NA(),VLOOKUP(N66,PAB_CTB_Database!$B:$I,8,FALSE))</f>
        <v>0</v>
      </c>
      <c r="P66" s="32">
        <f>IF(VLOOKUP(N66,PAB_CTB_Database!$B:$J,9,FALSE)="***",NA(),VLOOKUP(N66,PAB_CTB_Database!$B:$J,9,FALSE))</f>
        <v>0</v>
      </c>
      <c r="Q66" s="32">
        <f>IF(VLOOKUP(N66,PAB_CTB_Database!$B:$K,10,FALSE)="***",NA(),VLOOKUP(N66,PAB_CTB_Database!$B:$K,10,FALSE))</f>
        <v>13338119.31247695</v>
      </c>
      <c r="R66" s="32">
        <f>IF(VLOOKUP(N66,PAB_CTB_Database!$B:$M,12,FALSE)="***",NA(),VLOOKUP(N66,PAB_CTB_Database!$B:$M,12,FALSE))</f>
        <v>0</v>
      </c>
      <c r="S66" s="32">
        <f>IF(VLOOKUP(N66,PAB_CTB_Database!$B:$N,13,FALSE)="***",NA(),VLOOKUP(N66,PAB_CTB_Database!$B:$N,13,FALSE))</f>
        <v>0</v>
      </c>
      <c r="U66" s="26">
        <f t="shared" si="8"/>
        <v>46538</v>
      </c>
      <c r="V66" s="26" t="str">
        <f t="shared" si="9"/>
        <v>iBoxx MSCI GBP Corporates Paris Aligned Capped TCA Index62</v>
      </c>
      <c r="W66" s="32" t="e">
        <f t="shared" si="10"/>
        <v>#N/A</v>
      </c>
      <c r="X66" s="32" t="e">
        <f t="shared" si="11"/>
        <v>#N/A</v>
      </c>
      <c r="Y66" s="32" t="e">
        <f t="shared" si="12"/>
        <v>#N/A</v>
      </c>
      <c r="Z66" s="32">
        <f t="shared" si="13"/>
        <v>13338119.31247695</v>
      </c>
      <c r="AA66" s="32" t="e">
        <f t="shared" si="14"/>
        <v>#N/A</v>
      </c>
      <c r="AO66" t="s">
        <v>261</v>
      </c>
    </row>
    <row r="67" spans="1:41" x14ac:dyDescent="0.35">
      <c r="A67">
        <v>63</v>
      </c>
      <c r="C67">
        <f ca="1"/>
        <v>46568</v>
      </c>
      <c r="E67" t="str">
        <f ca="1"/>
        <v/>
      </c>
      <c r="F67" t="str">
        <f ca="1"/>
        <v/>
      </c>
      <c r="G67" t="str">
        <f ca="1"/>
        <v/>
      </c>
      <c r="M67" s="26">
        <f>'II. EU CTB &amp; PAB Report'!C90</f>
        <v>46568</v>
      </c>
      <c r="N67" s="26" t="str">
        <f>'II. EU CTB &amp; PAB Report'!$F$10&amp;REF!A67</f>
        <v>iBoxx MSCI GBP Corporates Paris Aligned Capped TCA Index63</v>
      </c>
      <c r="O67" s="32">
        <f>IF(VLOOKUP(N67,PAB_CTB_Database!$B:$I,8,FALSE)="***",NA(),VLOOKUP(N67,PAB_CTB_Database!$B:$I,8,FALSE))</f>
        <v>0</v>
      </c>
      <c r="P67" s="32">
        <f>IF(VLOOKUP(N67,PAB_CTB_Database!$B:$J,9,FALSE)="***",NA(),VLOOKUP(N67,PAB_CTB_Database!$B:$J,9,FALSE))</f>
        <v>0</v>
      </c>
      <c r="Q67" s="32">
        <f>IF(VLOOKUP(N67,PAB_CTB_Database!$B:$K,10,FALSE)="***",NA(),VLOOKUP(N67,PAB_CTB_Database!$B:$K,10,FALSE))</f>
        <v>13257699.682119269</v>
      </c>
      <c r="R67" s="32">
        <f>IF(VLOOKUP(N67,PAB_CTB_Database!$B:$M,12,FALSE)="***",NA(),VLOOKUP(N67,PAB_CTB_Database!$B:$M,12,FALSE))</f>
        <v>0</v>
      </c>
      <c r="S67" s="32">
        <f>IF(VLOOKUP(N67,PAB_CTB_Database!$B:$N,13,FALSE)="***",NA(),VLOOKUP(N67,PAB_CTB_Database!$B:$N,13,FALSE))</f>
        <v>0</v>
      </c>
      <c r="U67" s="26">
        <f t="shared" si="8"/>
        <v>46568</v>
      </c>
      <c r="V67" s="26" t="str">
        <f t="shared" si="9"/>
        <v>iBoxx MSCI GBP Corporates Paris Aligned Capped TCA Index63</v>
      </c>
      <c r="W67" s="32" t="e">
        <f t="shared" si="10"/>
        <v>#N/A</v>
      </c>
      <c r="X67" s="32" t="e">
        <f t="shared" si="11"/>
        <v>#N/A</v>
      </c>
      <c r="Y67" s="32" t="e">
        <f t="shared" si="12"/>
        <v>#N/A</v>
      </c>
      <c r="Z67" s="32">
        <f t="shared" si="13"/>
        <v>13257699.682119269</v>
      </c>
      <c r="AA67" s="32" t="e">
        <f t="shared" si="14"/>
        <v>#N/A</v>
      </c>
      <c r="AO67" t="s">
        <v>263</v>
      </c>
    </row>
    <row r="68" spans="1:41" x14ac:dyDescent="0.35">
      <c r="A68">
        <v>64</v>
      </c>
      <c r="C68">
        <f ca="1"/>
        <v>46599</v>
      </c>
      <c r="E68" t="str">
        <f ca="1"/>
        <v/>
      </c>
      <c r="F68" t="str">
        <f ca="1"/>
        <v/>
      </c>
      <c r="G68" t="str">
        <f ca="1"/>
        <v/>
      </c>
      <c r="M68" s="26">
        <f>'II. EU CTB &amp; PAB Report'!C91</f>
        <v>46599</v>
      </c>
      <c r="N68" s="26" t="str">
        <f>'II. EU CTB &amp; PAB Report'!$F$10&amp;REF!A68</f>
        <v>iBoxx MSCI GBP Corporates Paris Aligned Capped TCA Index64</v>
      </c>
      <c r="O68" s="32">
        <f>IF(VLOOKUP(N68,PAB_CTB_Database!$B:$I,8,FALSE)="***",NA(),VLOOKUP(N68,PAB_CTB_Database!$B:$I,8,FALSE))</f>
        <v>0</v>
      </c>
      <c r="P68" s="32">
        <f>IF(VLOOKUP(N68,PAB_CTB_Database!$B:$J,9,FALSE)="***",NA(),VLOOKUP(N68,PAB_CTB_Database!$B:$J,9,FALSE))</f>
        <v>0</v>
      </c>
      <c r="Q68" s="32">
        <f>IF(VLOOKUP(N68,PAB_CTB_Database!$B:$K,10,FALSE)="***",NA(),VLOOKUP(N68,PAB_CTB_Database!$B:$K,10,FALSE))</f>
        <v>13177764.92648758</v>
      </c>
      <c r="R68" s="32">
        <f>IF(VLOOKUP(N68,PAB_CTB_Database!$B:$M,12,FALSE)="***",NA(),VLOOKUP(N68,PAB_CTB_Database!$B:$M,12,FALSE))</f>
        <v>0</v>
      </c>
      <c r="S68" s="32">
        <f>IF(VLOOKUP(N68,PAB_CTB_Database!$B:$N,13,FALSE)="***",NA(),VLOOKUP(N68,PAB_CTB_Database!$B:$N,13,FALSE))</f>
        <v>0</v>
      </c>
      <c r="U68" s="26">
        <f t="shared" si="8"/>
        <v>46599</v>
      </c>
      <c r="V68" s="26" t="str">
        <f t="shared" si="9"/>
        <v>iBoxx MSCI GBP Corporates Paris Aligned Capped TCA Index64</v>
      </c>
      <c r="W68" s="32" t="e">
        <f t="shared" si="10"/>
        <v>#N/A</v>
      </c>
      <c r="X68" s="32" t="e">
        <f t="shared" si="11"/>
        <v>#N/A</v>
      </c>
      <c r="Y68" s="32" t="e">
        <f t="shared" si="12"/>
        <v>#N/A</v>
      </c>
      <c r="Z68" s="32">
        <f t="shared" si="13"/>
        <v>13177764.92648758</v>
      </c>
      <c r="AA68" s="32" t="e">
        <f t="shared" si="14"/>
        <v>#N/A</v>
      </c>
      <c r="AO68" t="s">
        <v>265</v>
      </c>
    </row>
    <row r="69" spans="1:41" x14ac:dyDescent="0.35">
      <c r="A69">
        <v>65</v>
      </c>
      <c r="C69">
        <f ca="1"/>
        <v>46630</v>
      </c>
      <c r="E69" t="str">
        <f ca="1"/>
        <v/>
      </c>
      <c r="F69" t="str">
        <f ca="1"/>
        <v/>
      </c>
      <c r="G69" t="str">
        <f ca="1"/>
        <v/>
      </c>
      <c r="M69" s="26">
        <f>'II. EU CTB &amp; PAB Report'!C92</f>
        <v>46630</v>
      </c>
      <c r="N69" s="26" t="str">
        <f>'II. EU CTB &amp; PAB Report'!$F$10&amp;REF!A69</f>
        <v>iBoxx MSCI GBP Corporates Paris Aligned Capped TCA Index65</v>
      </c>
      <c r="O69" s="32">
        <f>IF(VLOOKUP(N69,PAB_CTB_Database!$B:$I,8,FALSE)="***",NA(),VLOOKUP(N69,PAB_CTB_Database!$B:$I,8,FALSE))</f>
        <v>0</v>
      </c>
      <c r="P69" s="32">
        <f>IF(VLOOKUP(N69,PAB_CTB_Database!$B:$J,9,FALSE)="***",NA(),VLOOKUP(N69,PAB_CTB_Database!$B:$J,9,FALSE))</f>
        <v>0</v>
      </c>
      <c r="Q69" s="32">
        <f>IF(VLOOKUP(N69,PAB_CTB_Database!$B:$K,10,FALSE)="***",NA(),VLOOKUP(N69,PAB_CTB_Database!$B:$K,10,FALSE))</f>
        <v>13098312.122122783</v>
      </c>
      <c r="R69" s="32">
        <f>IF(VLOOKUP(N69,PAB_CTB_Database!$B:$M,12,FALSE)="***",NA(),VLOOKUP(N69,PAB_CTB_Database!$B:$M,12,FALSE))</f>
        <v>0</v>
      </c>
      <c r="S69" s="32">
        <f>IF(VLOOKUP(N69,PAB_CTB_Database!$B:$N,13,FALSE)="***",NA(),VLOOKUP(N69,PAB_CTB_Database!$B:$N,13,FALSE))</f>
        <v>0</v>
      </c>
      <c r="U69" s="26">
        <f t="shared" si="8"/>
        <v>46630</v>
      </c>
      <c r="V69" s="26" t="str">
        <f t="shared" si="9"/>
        <v>iBoxx MSCI GBP Corporates Paris Aligned Capped TCA Index65</v>
      </c>
      <c r="W69" s="32" t="e">
        <f t="shared" si="10"/>
        <v>#N/A</v>
      </c>
      <c r="X69" s="32" t="e">
        <f t="shared" si="11"/>
        <v>#N/A</v>
      </c>
      <c r="Y69" s="32" t="e">
        <f t="shared" si="12"/>
        <v>#N/A</v>
      </c>
      <c r="Z69" s="32">
        <f t="shared" si="13"/>
        <v>13098312.122122783</v>
      </c>
      <c r="AA69" s="32" t="e">
        <f t="shared" si="14"/>
        <v>#N/A</v>
      </c>
      <c r="AO69" t="s">
        <v>267</v>
      </c>
    </row>
    <row r="70" spans="1:41" x14ac:dyDescent="0.35">
      <c r="A70">
        <v>66</v>
      </c>
      <c r="C70">
        <f ca="1"/>
        <v>46660</v>
      </c>
      <c r="E70" t="str">
        <f ca="1"/>
        <v/>
      </c>
      <c r="F70" t="str">
        <f ca="1"/>
        <v/>
      </c>
      <c r="G70" t="str">
        <f ca="1"/>
        <v/>
      </c>
      <c r="M70" s="26">
        <f>'II. EU CTB &amp; PAB Report'!C93</f>
        <v>46660</v>
      </c>
      <c r="N70" s="26" t="str">
        <f>'II. EU CTB &amp; PAB Report'!$F$10&amp;REF!A70</f>
        <v>iBoxx MSCI GBP Corporates Paris Aligned Capped TCA Index66</v>
      </c>
      <c r="O70" s="32">
        <f>IF(VLOOKUP(N70,PAB_CTB_Database!$B:$I,8,FALSE)="***",NA(),VLOOKUP(N70,PAB_CTB_Database!$B:$I,8,FALSE))</f>
        <v>0</v>
      </c>
      <c r="P70" s="32">
        <f>IF(VLOOKUP(N70,PAB_CTB_Database!$B:$J,9,FALSE)="***",NA(),VLOOKUP(N70,PAB_CTB_Database!$B:$J,9,FALSE))</f>
        <v>0</v>
      </c>
      <c r="Q70" s="32">
        <f>IF(VLOOKUP(N70,PAB_CTB_Database!$B:$K,10,FALSE)="***",NA(),VLOOKUP(N70,PAB_CTB_Database!$B:$K,10,FALSE))</f>
        <v>13019338.363192219</v>
      </c>
      <c r="R70" s="32">
        <f>IF(VLOOKUP(N70,PAB_CTB_Database!$B:$M,12,FALSE)="***",NA(),VLOOKUP(N70,PAB_CTB_Database!$B:$M,12,FALSE))</f>
        <v>0</v>
      </c>
      <c r="S70" s="32">
        <f>IF(VLOOKUP(N70,PAB_CTB_Database!$B:$N,13,FALSE)="***",NA(),VLOOKUP(N70,PAB_CTB_Database!$B:$N,13,FALSE))</f>
        <v>0</v>
      </c>
      <c r="U70" s="26">
        <f t="shared" si="8"/>
        <v>46660</v>
      </c>
      <c r="V70" s="26" t="str">
        <f t="shared" si="9"/>
        <v>iBoxx MSCI GBP Corporates Paris Aligned Capped TCA Index66</v>
      </c>
      <c r="W70" s="32" t="e">
        <f t="shared" si="10"/>
        <v>#N/A</v>
      </c>
      <c r="X70" s="32" t="e">
        <f t="shared" si="11"/>
        <v>#N/A</v>
      </c>
      <c r="Y70" s="32" t="e">
        <f t="shared" si="12"/>
        <v>#N/A</v>
      </c>
      <c r="Z70" s="32">
        <f t="shared" si="13"/>
        <v>13019338.363192219</v>
      </c>
      <c r="AA70" s="32" t="e">
        <f t="shared" si="14"/>
        <v>#N/A</v>
      </c>
      <c r="AO70" t="s">
        <v>269</v>
      </c>
    </row>
    <row r="71" spans="1:41" x14ac:dyDescent="0.35">
      <c r="A71">
        <v>67</v>
      </c>
      <c r="C71">
        <f ca="1"/>
        <v>46691</v>
      </c>
      <c r="E71" t="str">
        <f ca="1"/>
        <v/>
      </c>
      <c r="F71" t="str">
        <f ca="1"/>
        <v/>
      </c>
      <c r="G71" t="str">
        <f ca="1"/>
        <v/>
      </c>
      <c r="M71" s="26">
        <f>'II. EU CTB &amp; PAB Report'!C94</f>
        <v>46691</v>
      </c>
      <c r="N71" s="26" t="str">
        <f>'II. EU CTB &amp; PAB Report'!$F$10&amp;REF!A71</f>
        <v>iBoxx MSCI GBP Corporates Paris Aligned Capped TCA Index67</v>
      </c>
      <c r="O71" s="32">
        <f>IF(VLOOKUP(N71,PAB_CTB_Database!$B:$I,8,FALSE)="***",NA(),VLOOKUP(N71,PAB_CTB_Database!$B:$I,8,FALSE))</f>
        <v>0</v>
      </c>
      <c r="P71" s="32">
        <f>IF(VLOOKUP(N71,PAB_CTB_Database!$B:$J,9,FALSE)="***",NA(),VLOOKUP(N71,PAB_CTB_Database!$B:$J,9,FALSE))</f>
        <v>0</v>
      </c>
      <c r="Q71" s="32">
        <f>IF(VLOOKUP(N71,PAB_CTB_Database!$B:$K,10,FALSE)="***",NA(),VLOOKUP(N71,PAB_CTB_Database!$B:$K,10,FALSE))</f>
        <v>12940840.76138339</v>
      </c>
      <c r="R71" s="32">
        <f>IF(VLOOKUP(N71,PAB_CTB_Database!$B:$M,12,FALSE)="***",NA(),VLOOKUP(N71,PAB_CTB_Database!$B:$M,12,FALSE))</f>
        <v>0</v>
      </c>
      <c r="S71" s="32">
        <f>IF(VLOOKUP(N71,PAB_CTB_Database!$B:$N,13,FALSE)="***",NA(),VLOOKUP(N71,PAB_CTB_Database!$B:$N,13,FALSE))</f>
        <v>0</v>
      </c>
      <c r="U71" s="26">
        <f t="shared" si="8"/>
        <v>46691</v>
      </c>
      <c r="V71" s="26" t="str">
        <f t="shared" si="9"/>
        <v>iBoxx MSCI GBP Corporates Paris Aligned Capped TCA Index67</v>
      </c>
      <c r="W71" s="32" t="e">
        <f t="shared" si="10"/>
        <v>#N/A</v>
      </c>
      <c r="X71" s="32" t="e">
        <f t="shared" si="11"/>
        <v>#N/A</v>
      </c>
      <c r="Y71" s="32" t="e">
        <f t="shared" si="12"/>
        <v>#N/A</v>
      </c>
      <c r="Z71" s="32">
        <f t="shared" si="13"/>
        <v>12940840.76138339</v>
      </c>
      <c r="AA71" s="32" t="e">
        <f t="shared" si="14"/>
        <v>#N/A</v>
      </c>
      <c r="AO71" t="s">
        <v>271</v>
      </c>
    </row>
    <row r="72" spans="1:41" x14ac:dyDescent="0.35">
      <c r="A72">
        <v>68</v>
      </c>
      <c r="C72">
        <f ca="1"/>
        <v>46721</v>
      </c>
      <c r="E72" t="str">
        <f ca="1"/>
        <v/>
      </c>
      <c r="F72" t="str">
        <f ca="1"/>
        <v/>
      </c>
      <c r="G72" t="str">
        <f ca="1"/>
        <v/>
      </c>
      <c r="M72" s="26">
        <f>'II. EU CTB &amp; PAB Report'!C95</f>
        <v>46721</v>
      </c>
      <c r="N72" s="26" t="str">
        <f>'II. EU CTB &amp; PAB Report'!$F$10&amp;REF!A72</f>
        <v>iBoxx MSCI GBP Corporates Paris Aligned Capped TCA Index68</v>
      </c>
      <c r="O72" s="32">
        <f>IF(VLOOKUP(N72,PAB_CTB_Database!$B:$I,8,FALSE)="***",NA(),VLOOKUP(N72,PAB_CTB_Database!$B:$I,8,FALSE))</f>
        <v>0</v>
      </c>
      <c r="P72" s="32">
        <f>IF(VLOOKUP(N72,PAB_CTB_Database!$B:$J,9,FALSE)="***",NA(),VLOOKUP(N72,PAB_CTB_Database!$B:$J,9,FALSE))</f>
        <v>0</v>
      </c>
      <c r="Q72" s="32">
        <f>IF(VLOOKUP(N72,PAB_CTB_Database!$B:$K,10,FALSE)="***",NA(),VLOOKUP(N72,PAB_CTB_Database!$B:$K,10,FALSE))</f>
        <v>12862816.445798317</v>
      </c>
      <c r="R72" s="32">
        <f>IF(VLOOKUP(N72,PAB_CTB_Database!$B:$M,12,FALSE)="***",NA(),VLOOKUP(N72,PAB_CTB_Database!$B:$M,12,FALSE))</f>
        <v>0</v>
      </c>
      <c r="S72" s="32">
        <f>IF(VLOOKUP(N72,PAB_CTB_Database!$B:$N,13,FALSE)="***",NA(),VLOOKUP(N72,PAB_CTB_Database!$B:$N,13,FALSE))</f>
        <v>0</v>
      </c>
      <c r="U72" s="26">
        <f t="shared" si="8"/>
        <v>46721</v>
      </c>
      <c r="V72" s="26" t="str">
        <f t="shared" si="9"/>
        <v>iBoxx MSCI GBP Corporates Paris Aligned Capped TCA Index68</v>
      </c>
      <c r="W72" s="32" t="e">
        <f t="shared" si="10"/>
        <v>#N/A</v>
      </c>
      <c r="X72" s="32" t="e">
        <f t="shared" si="11"/>
        <v>#N/A</v>
      </c>
      <c r="Y72" s="32" t="e">
        <f t="shared" si="12"/>
        <v>#N/A</v>
      </c>
      <c r="Z72" s="32">
        <f t="shared" si="13"/>
        <v>12862816.445798317</v>
      </c>
      <c r="AA72" s="32" t="e">
        <f t="shared" si="14"/>
        <v>#N/A</v>
      </c>
      <c r="AO72" t="s">
        <v>273</v>
      </c>
    </row>
    <row r="73" spans="1:41" x14ac:dyDescent="0.35">
      <c r="A73">
        <v>69</v>
      </c>
      <c r="C73">
        <f ca="1"/>
        <v>46752</v>
      </c>
      <c r="E73" t="str">
        <f ca="1"/>
        <v/>
      </c>
      <c r="F73" t="str">
        <f ca="1"/>
        <v/>
      </c>
      <c r="G73" t="str">
        <f ca="1"/>
        <v/>
      </c>
      <c r="M73" s="26">
        <f>'II. EU CTB &amp; PAB Report'!C96</f>
        <v>46752</v>
      </c>
      <c r="N73" s="26" t="str">
        <f>'II. EU CTB &amp; PAB Report'!$F$10&amp;REF!A73</f>
        <v>iBoxx MSCI GBP Corporates Paris Aligned Capped TCA Index69</v>
      </c>
      <c r="O73" s="32">
        <f>IF(VLOOKUP(N73,PAB_CTB_Database!$B:$I,8,FALSE)="***",NA(),VLOOKUP(N73,PAB_CTB_Database!$B:$I,8,FALSE))</f>
        <v>0</v>
      </c>
      <c r="P73" s="32">
        <f>IF(VLOOKUP(N73,PAB_CTB_Database!$B:$J,9,FALSE)="***",NA(),VLOOKUP(N73,PAB_CTB_Database!$B:$J,9,FALSE))</f>
        <v>0</v>
      </c>
      <c r="Q73" s="32">
        <f>IF(VLOOKUP(N73,PAB_CTB_Database!$B:$K,10,FALSE)="***",NA(),VLOOKUP(N73,PAB_CTB_Database!$B:$K,10,FALSE))</f>
        <v>12785262.562848555</v>
      </c>
      <c r="R73" s="32">
        <f>IF(VLOOKUP(N73,PAB_CTB_Database!$B:$M,12,FALSE)="***",NA(),VLOOKUP(N73,PAB_CTB_Database!$B:$M,12,FALSE))</f>
        <v>0</v>
      </c>
      <c r="S73" s="32">
        <f>IF(VLOOKUP(N73,PAB_CTB_Database!$B:$N,13,FALSE)="***",NA(),VLOOKUP(N73,PAB_CTB_Database!$B:$N,13,FALSE))</f>
        <v>0</v>
      </c>
      <c r="U73" s="26">
        <f t="shared" si="8"/>
        <v>46752</v>
      </c>
      <c r="V73" s="26" t="str">
        <f t="shared" si="9"/>
        <v>iBoxx MSCI GBP Corporates Paris Aligned Capped TCA Index69</v>
      </c>
      <c r="W73" s="32" t="e">
        <f t="shared" si="10"/>
        <v>#N/A</v>
      </c>
      <c r="X73" s="32" t="e">
        <f t="shared" si="11"/>
        <v>#N/A</v>
      </c>
      <c r="Y73" s="32" t="e">
        <f t="shared" si="12"/>
        <v>#N/A</v>
      </c>
      <c r="Z73" s="32">
        <f t="shared" si="13"/>
        <v>12785262.562848555</v>
      </c>
      <c r="AA73" s="32" t="e">
        <f t="shared" si="14"/>
        <v>#N/A</v>
      </c>
      <c r="AO73" t="s">
        <v>275</v>
      </c>
    </row>
    <row r="74" spans="1:41" x14ac:dyDescent="0.35">
      <c r="A74">
        <v>70</v>
      </c>
      <c r="C74">
        <f ca="1"/>
        <v>46783</v>
      </c>
      <c r="E74" t="str">
        <f ca="1"/>
        <v/>
      </c>
      <c r="F74" t="str">
        <f ca="1"/>
        <v/>
      </c>
      <c r="G74" t="str">
        <f ca="1"/>
        <v/>
      </c>
      <c r="M74" s="26">
        <f>'II. EU CTB &amp; PAB Report'!C97</f>
        <v>46783</v>
      </c>
      <c r="N74" s="26" t="str">
        <f>'II. EU CTB &amp; PAB Report'!$F$10&amp;REF!A74</f>
        <v>iBoxx MSCI GBP Corporates Paris Aligned Capped TCA Index70</v>
      </c>
      <c r="O74" s="32">
        <f>IF(VLOOKUP(N74,PAB_CTB_Database!$B:$I,8,FALSE)="***",NA(),VLOOKUP(N74,PAB_CTB_Database!$B:$I,8,FALSE))</f>
        <v>0</v>
      </c>
      <c r="P74" s="32">
        <f>IF(VLOOKUP(N74,PAB_CTB_Database!$B:$J,9,FALSE)="***",NA(),VLOOKUP(N74,PAB_CTB_Database!$B:$J,9,FALSE))</f>
        <v>0</v>
      </c>
      <c r="Q74" s="32">
        <f>IF(VLOOKUP(N74,PAB_CTB_Database!$B:$K,10,FALSE)="***",NA(),VLOOKUP(N74,PAB_CTB_Database!$B:$K,10,FALSE))</f>
        <v>12708176.276150823</v>
      </c>
      <c r="R74" s="32">
        <f>IF(VLOOKUP(N74,PAB_CTB_Database!$B:$M,12,FALSE)="***",NA(),VLOOKUP(N74,PAB_CTB_Database!$B:$M,12,FALSE))</f>
        <v>0</v>
      </c>
      <c r="S74" s="32">
        <f>IF(VLOOKUP(N74,PAB_CTB_Database!$B:$N,13,FALSE)="***",NA(),VLOOKUP(N74,PAB_CTB_Database!$B:$N,13,FALSE))</f>
        <v>0</v>
      </c>
      <c r="U74" s="26">
        <f t="shared" si="8"/>
        <v>46783</v>
      </c>
      <c r="V74" s="26" t="str">
        <f t="shared" si="9"/>
        <v>iBoxx MSCI GBP Corporates Paris Aligned Capped TCA Index70</v>
      </c>
      <c r="W74" s="32" t="e">
        <f t="shared" si="10"/>
        <v>#N/A</v>
      </c>
      <c r="X74" s="32" t="e">
        <f t="shared" si="11"/>
        <v>#N/A</v>
      </c>
      <c r="Y74" s="32" t="e">
        <f t="shared" si="12"/>
        <v>#N/A</v>
      </c>
      <c r="Z74" s="32">
        <f t="shared" si="13"/>
        <v>12708176.276150823</v>
      </c>
      <c r="AA74" s="32" t="e">
        <f t="shared" si="14"/>
        <v>#N/A</v>
      </c>
    </row>
    <row r="75" spans="1:41" x14ac:dyDescent="0.35">
      <c r="A75">
        <v>71</v>
      </c>
      <c r="C75">
        <f ca="1"/>
        <v>46811</v>
      </c>
      <c r="E75" t="str">
        <f ca="1"/>
        <v/>
      </c>
      <c r="F75" t="str">
        <f ca="1"/>
        <v/>
      </c>
      <c r="G75" t="str">
        <f ca="1"/>
        <v/>
      </c>
      <c r="M75" s="26">
        <f>'II. EU CTB &amp; PAB Report'!C98</f>
        <v>46811</v>
      </c>
      <c r="N75" s="26" t="str">
        <f>'II. EU CTB &amp; PAB Report'!$F$10&amp;REF!A75</f>
        <v>iBoxx MSCI GBP Corporates Paris Aligned Capped TCA Index71</v>
      </c>
      <c r="O75" s="32">
        <f>IF(VLOOKUP(N75,PAB_CTB_Database!$B:$I,8,FALSE)="***",NA(),VLOOKUP(N75,PAB_CTB_Database!$B:$I,8,FALSE))</f>
        <v>0</v>
      </c>
      <c r="P75" s="32">
        <f>IF(VLOOKUP(N75,PAB_CTB_Database!$B:$J,9,FALSE)="***",NA(),VLOOKUP(N75,PAB_CTB_Database!$B:$J,9,FALSE))</f>
        <v>0</v>
      </c>
      <c r="Q75" s="32">
        <f>IF(VLOOKUP(N75,PAB_CTB_Database!$B:$K,10,FALSE)="***",NA(),VLOOKUP(N75,PAB_CTB_Database!$B:$K,10,FALSE))</f>
        <v>12631554.766423263</v>
      </c>
      <c r="R75" s="32">
        <f>IF(VLOOKUP(N75,PAB_CTB_Database!$B:$M,12,FALSE)="***",NA(),VLOOKUP(N75,PAB_CTB_Database!$B:$M,12,FALSE))</f>
        <v>0</v>
      </c>
      <c r="S75" s="32">
        <f>IF(VLOOKUP(N75,PAB_CTB_Database!$B:$N,13,FALSE)="***",NA(),VLOOKUP(N75,PAB_CTB_Database!$B:$N,13,FALSE))</f>
        <v>0</v>
      </c>
      <c r="U75" s="26">
        <f t="shared" si="8"/>
        <v>46811</v>
      </c>
      <c r="V75" s="26" t="str">
        <f t="shared" si="9"/>
        <v>iBoxx MSCI GBP Corporates Paris Aligned Capped TCA Index71</v>
      </c>
      <c r="W75" s="32" t="e">
        <f t="shared" si="10"/>
        <v>#N/A</v>
      </c>
      <c r="X75" s="32" t="e">
        <f t="shared" si="11"/>
        <v>#N/A</v>
      </c>
      <c r="Y75" s="32" t="e">
        <f t="shared" si="12"/>
        <v>#N/A</v>
      </c>
      <c r="Z75" s="32">
        <f t="shared" si="13"/>
        <v>12631554.766423263</v>
      </c>
      <c r="AA75" s="32" t="e">
        <f t="shared" si="14"/>
        <v>#N/A</v>
      </c>
    </row>
    <row r="76" spans="1:41" x14ac:dyDescent="0.35">
      <c r="A76">
        <v>72</v>
      </c>
      <c r="C76">
        <f ca="1"/>
        <v>46843</v>
      </c>
      <c r="E76" t="str">
        <f ca="1"/>
        <v/>
      </c>
      <c r="F76" t="str">
        <f ca="1"/>
        <v/>
      </c>
      <c r="G76" t="str">
        <f ca="1"/>
        <v/>
      </c>
      <c r="M76" s="26">
        <f>'II. EU CTB &amp; PAB Report'!C99</f>
        <v>46843</v>
      </c>
      <c r="N76" s="26" t="str">
        <f>'II. EU CTB &amp; PAB Report'!$F$10&amp;REF!A76</f>
        <v>iBoxx MSCI GBP Corporates Paris Aligned Capped TCA Index72</v>
      </c>
      <c r="O76" s="32">
        <f>IF(VLOOKUP(N76,PAB_CTB_Database!$B:$I,8,FALSE)="***",NA(),VLOOKUP(N76,PAB_CTB_Database!$B:$I,8,FALSE))</f>
        <v>0</v>
      </c>
      <c r="P76" s="32">
        <f>IF(VLOOKUP(N76,PAB_CTB_Database!$B:$J,9,FALSE)="***",NA(),VLOOKUP(N76,PAB_CTB_Database!$B:$J,9,FALSE))</f>
        <v>0</v>
      </c>
      <c r="Q76" s="32">
        <f>IF(VLOOKUP(N76,PAB_CTB_Database!$B:$K,10,FALSE)="***",NA(),VLOOKUP(N76,PAB_CTB_Database!$B:$K,10,FALSE))</f>
        <v>12555395.231382344</v>
      </c>
      <c r="R76" s="32">
        <f>IF(VLOOKUP(N76,PAB_CTB_Database!$B:$M,12,FALSE)="***",NA(),VLOOKUP(N76,PAB_CTB_Database!$B:$M,12,FALSE))</f>
        <v>0</v>
      </c>
      <c r="S76" s="32">
        <f>IF(VLOOKUP(N76,PAB_CTB_Database!$B:$N,13,FALSE)="***",NA(),VLOOKUP(N76,PAB_CTB_Database!$B:$N,13,FALSE))</f>
        <v>0</v>
      </c>
      <c r="U76" s="26">
        <f t="shared" si="8"/>
        <v>46843</v>
      </c>
      <c r="V76" s="26" t="str">
        <f t="shared" si="9"/>
        <v>iBoxx MSCI GBP Corporates Paris Aligned Capped TCA Index72</v>
      </c>
      <c r="W76" s="32" t="e">
        <f t="shared" si="10"/>
        <v>#N/A</v>
      </c>
      <c r="X76" s="32" t="e">
        <f t="shared" si="11"/>
        <v>#N/A</v>
      </c>
      <c r="Y76" s="32" t="e">
        <f t="shared" si="12"/>
        <v>#N/A</v>
      </c>
      <c r="Z76" s="32">
        <f t="shared" si="13"/>
        <v>12555395.231382344</v>
      </c>
      <c r="AA76" s="32" t="e">
        <f t="shared" si="14"/>
        <v>#N/A</v>
      </c>
    </row>
    <row r="77" spans="1:41" x14ac:dyDescent="0.35">
      <c r="A77">
        <v>73</v>
      </c>
      <c r="C77">
        <f ca="1"/>
        <v>46873</v>
      </c>
      <c r="E77" t="str">
        <f ca="1"/>
        <v/>
      </c>
      <c r="F77" t="str">
        <f ca="1"/>
        <v/>
      </c>
      <c r="G77" t="str">
        <f ca="1"/>
        <v/>
      </c>
      <c r="M77" s="26">
        <f>'II. EU CTB &amp; PAB Report'!C100</f>
        <v>46873</v>
      </c>
      <c r="N77" s="26" t="str">
        <f>'II. EU CTB &amp; PAB Report'!$F$10&amp;REF!A77</f>
        <v>iBoxx MSCI GBP Corporates Paris Aligned Capped TCA Index73</v>
      </c>
      <c r="O77" s="32">
        <f>IF(VLOOKUP(N77,PAB_CTB_Database!$B:$I,8,FALSE)="***",NA(),VLOOKUP(N77,PAB_CTB_Database!$B:$I,8,FALSE))</f>
        <v>0</v>
      </c>
      <c r="P77" s="32">
        <f>IF(VLOOKUP(N77,PAB_CTB_Database!$B:$J,9,FALSE)="***",NA(),VLOOKUP(N77,PAB_CTB_Database!$B:$J,9,FALSE))</f>
        <v>0</v>
      </c>
      <c r="Q77" s="32">
        <f>IF(VLOOKUP(N77,PAB_CTB_Database!$B:$K,10,FALSE)="***",NA(),VLOOKUP(N77,PAB_CTB_Database!$B:$K,10,FALSE))</f>
        <v>12479694.885640359</v>
      </c>
      <c r="R77" s="32">
        <f>IF(VLOOKUP(N77,PAB_CTB_Database!$B:$M,12,FALSE)="***",NA(),VLOOKUP(N77,PAB_CTB_Database!$B:$M,12,FALSE))</f>
        <v>0</v>
      </c>
      <c r="S77" s="32">
        <f>IF(VLOOKUP(N77,PAB_CTB_Database!$B:$N,13,FALSE)="***",NA(),VLOOKUP(N77,PAB_CTB_Database!$B:$N,13,FALSE))</f>
        <v>0</v>
      </c>
      <c r="U77" s="26">
        <f t="shared" si="8"/>
        <v>46873</v>
      </c>
      <c r="V77" s="26" t="str">
        <f t="shared" si="9"/>
        <v>iBoxx MSCI GBP Corporates Paris Aligned Capped TCA Index73</v>
      </c>
      <c r="W77" s="32" t="e">
        <f t="shared" si="10"/>
        <v>#N/A</v>
      </c>
      <c r="X77" s="32" t="e">
        <f t="shared" si="11"/>
        <v>#N/A</v>
      </c>
      <c r="Y77" s="32" t="e">
        <f t="shared" si="12"/>
        <v>#N/A</v>
      </c>
      <c r="Z77" s="32">
        <f t="shared" si="13"/>
        <v>12479694.885640359</v>
      </c>
      <c r="AA77" s="32" t="e">
        <f t="shared" si="14"/>
        <v>#N/A</v>
      </c>
    </row>
    <row r="78" spans="1:41" x14ac:dyDescent="0.35">
      <c r="A78">
        <v>74</v>
      </c>
      <c r="C78">
        <f ca="1"/>
        <v>46904</v>
      </c>
      <c r="E78" t="str">
        <f ca="1"/>
        <v/>
      </c>
      <c r="F78" t="str">
        <f ca="1"/>
        <v/>
      </c>
      <c r="G78" t="str">
        <f ca="1"/>
        <v/>
      </c>
      <c r="M78" s="26">
        <f>'II. EU CTB &amp; PAB Report'!C101</f>
        <v>46904</v>
      </c>
      <c r="N78" s="26" t="str">
        <f>'II. EU CTB &amp; PAB Report'!$F$10&amp;REF!A78</f>
        <v>iBoxx MSCI GBP Corporates Paris Aligned Capped TCA Index74</v>
      </c>
      <c r="O78" s="32">
        <f>IF(VLOOKUP(N78,PAB_CTB_Database!$B:$I,8,FALSE)="***",NA(),VLOOKUP(N78,PAB_CTB_Database!$B:$I,8,FALSE))</f>
        <v>0</v>
      </c>
      <c r="P78" s="32">
        <f>IF(VLOOKUP(N78,PAB_CTB_Database!$B:$J,9,FALSE)="***",NA(),VLOOKUP(N78,PAB_CTB_Database!$B:$J,9,FALSE))</f>
        <v>0</v>
      </c>
      <c r="Q78" s="32">
        <f>IF(VLOOKUP(N78,PAB_CTB_Database!$B:$K,10,FALSE)="***",NA(),VLOOKUP(N78,PAB_CTB_Database!$B:$K,10,FALSE))</f>
        <v>12404450.960603565</v>
      </c>
      <c r="R78" s="32">
        <f>IF(VLOOKUP(N78,PAB_CTB_Database!$B:$M,12,FALSE)="***",NA(),VLOOKUP(N78,PAB_CTB_Database!$B:$M,12,FALSE))</f>
        <v>0</v>
      </c>
      <c r="S78" s="32">
        <f>IF(VLOOKUP(N78,PAB_CTB_Database!$B:$N,13,FALSE)="***",NA(),VLOOKUP(N78,PAB_CTB_Database!$B:$N,13,FALSE))</f>
        <v>0</v>
      </c>
      <c r="U78" s="26">
        <f t="shared" si="8"/>
        <v>46904</v>
      </c>
      <c r="V78" s="26" t="str">
        <f t="shared" si="9"/>
        <v>iBoxx MSCI GBP Corporates Paris Aligned Capped TCA Index74</v>
      </c>
      <c r="W78" s="32" t="e">
        <f t="shared" si="10"/>
        <v>#N/A</v>
      </c>
      <c r="X78" s="32" t="e">
        <f t="shared" si="11"/>
        <v>#N/A</v>
      </c>
      <c r="Y78" s="32" t="e">
        <f t="shared" si="12"/>
        <v>#N/A</v>
      </c>
      <c r="Z78" s="32">
        <f t="shared" si="13"/>
        <v>12404450.960603565</v>
      </c>
      <c r="AA78" s="32" t="e">
        <f t="shared" si="14"/>
        <v>#N/A</v>
      </c>
    </row>
    <row r="79" spans="1:41" x14ac:dyDescent="0.35">
      <c r="A79">
        <v>75</v>
      </c>
      <c r="C79">
        <f ca="1"/>
        <v>46934</v>
      </c>
      <c r="E79" t="str">
        <f ca="1"/>
        <v/>
      </c>
      <c r="F79" t="str">
        <f ca="1"/>
        <v/>
      </c>
      <c r="G79" t="str">
        <f ca="1"/>
        <v/>
      </c>
      <c r="M79" s="26">
        <f>'II. EU CTB &amp; PAB Report'!C102</f>
        <v>46934</v>
      </c>
      <c r="N79" s="26" t="str">
        <f>'II. EU CTB &amp; PAB Report'!$F$10&amp;REF!A79</f>
        <v>iBoxx MSCI GBP Corporates Paris Aligned Capped TCA Index75</v>
      </c>
      <c r="O79" s="32">
        <f>IF(VLOOKUP(N79,PAB_CTB_Database!$B:$I,8,FALSE)="***",NA(),VLOOKUP(N79,PAB_CTB_Database!$B:$I,8,FALSE))</f>
        <v>0</v>
      </c>
      <c r="P79" s="32">
        <f>IF(VLOOKUP(N79,PAB_CTB_Database!$B:$J,9,FALSE)="***",NA(),VLOOKUP(N79,PAB_CTB_Database!$B:$J,9,FALSE))</f>
        <v>0</v>
      </c>
      <c r="Q79" s="32">
        <f>IF(VLOOKUP(N79,PAB_CTB_Database!$B:$K,10,FALSE)="***",NA(),VLOOKUP(N79,PAB_CTB_Database!$B:$K,10,FALSE))</f>
        <v>12329660.704370921</v>
      </c>
      <c r="R79" s="32">
        <f>IF(VLOOKUP(N79,PAB_CTB_Database!$B:$M,12,FALSE)="***",NA(),VLOOKUP(N79,PAB_CTB_Database!$B:$M,12,FALSE))</f>
        <v>0</v>
      </c>
      <c r="S79" s="32">
        <f>IF(VLOOKUP(N79,PAB_CTB_Database!$B:$N,13,FALSE)="***",NA(),VLOOKUP(N79,PAB_CTB_Database!$B:$N,13,FALSE))</f>
        <v>0</v>
      </c>
      <c r="U79" s="26">
        <f t="shared" si="8"/>
        <v>46934</v>
      </c>
      <c r="V79" s="26" t="str">
        <f t="shared" si="9"/>
        <v>iBoxx MSCI GBP Corporates Paris Aligned Capped TCA Index75</v>
      </c>
      <c r="W79" s="32" t="e">
        <f t="shared" si="10"/>
        <v>#N/A</v>
      </c>
      <c r="X79" s="32" t="e">
        <f t="shared" si="11"/>
        <v>#N/A</v>
      </c>
      <c r="Y79" s="32" t="e">
        <f t="shared" si="12"/>
        <v>#N/A</v>
      </c>
      <c r="Z79" s="32">
        <f t="shared" si="13"/>
        <v>12329660.704370921</v>
      </c>
      <c r="AA79" s="32" t="e">
        <f t="shared" si="14"/>
        <v>#N/A</v>
      </c>
    </row>
    <row r="80" spans="1:41" x14ac:dyDescent="0.35">
      <c r="A80">
        <v>76</v>
      </c>
      <c r="C80">
        <f ca="1"/>
        <v>46965</v>
      </c>
      <c r="E80" t="str">
        <f ca="1"/>
        <v/>
      </c>
      <c r="F80" t="str">
        <f ca="1"/>
        <v/>
      </c>
      <c r="G80" t="str">
        <f ca="1"/>
        <v/>
      </c>
      <c r="M80" s="26">
        <f>'II. EU CTB &amp; PAB Report'!C103</f>
        <v>46965</v>
      </c>
      <c r="N80" s="26" t="str">
        <f>'II. EU CTB &amp; PAB Report'!$F$10&amp;REF!A80</f>
        <v>iBoxx MSCI GBP Corporates Paris Aligned Capped TCA Index76</v>
      </c>
      <c r="O80" s="32">
        <f>IF(VLOOKUP(N80,PAB_CTB_Database!$B:$I,8,FALSE)="***",NA(),VLOOKUP(N80,PAB_CTB_Database!$B:$I,8,FALSE))</f>
        <v>0</v>
      </c>
      <c r="P80" s="32">
        <f>IF(VLOOKUP(N80,PAB_CTB_Database!$B:$J,9,FALSE)="***",NA(),VLOOKUP(N80,PAB_CTB_Database!$B:$J,9,FALSE))</f>
        <v>0</v>
      </c>
      <c r="Q80" s="32">
        <f>IF(VLOOKUP(N80,PAB_CTB_Database!$B:$K,10,FALSE)="***",NA(),VLOOKUP(N80,PAB_CTB_Database!$B:$K,10,FALSE))</f>
        <v>12255321.381633451</v>
      </c>
      <c r="R80" s="32">
        <f>IF(VLOOKUP(N80,PAB_CTB_Database!$B:$M,12,FALSE)="***",NA(),VLOOKUP(N80,PAB_CTB_Database!$B:$M,12,FALSE))</f>
        <v>0</v>
      </c>
      <c r="S80" s="32">
        <f>IF(VLOOKUP(N80,PAB_CTB_Database!$B:$N,13,FALSE)="***",NA(),VLOOKUP(N80,PAB_CTB_Database!$B:$N,13,FALSE))</f>
        <v>0</v>
      </c>
      <c r="U80" s="26">
        <f t="shared" si="8"/>
        <v>46965</v>
      </c>
      <c r="V80" s="26" t="str">
        <f t="shared" si="9"/>
        <v>iBoxx MSCI GBP Corporates Paris Aligned Capped TCA Index76</v>
      </c>
      <c r="W80" s="32" t="e">
        <f t="shared" si="10"/>
        <v>#N/A</v>
      </c>
      <c r="X80" s="32" t="e">
        <f t="shared" si="11"/>
        <v>#N/A</v>
      </c>
      <c r="Y80" s="32" t="e">
        <f t="shared" si="12"/>
        <v>#N/A</v>
      </c>
      <c r="Z80" s="32">
        <f t="shared" si="13"/>
        <v>12255321.381633451</v>
      </c>
      <c r="AA80" s="32" t="e">
        <f t="shared" si="14"/>
        <v>#N/A</v>
      </c>
    </row>
    <row r="81" spans="1:27" x14ac:dyDescent="0.35">
      <c r="A81">
        <v>77</v>
      </c>
      <c r="C81">
        <f ca="1"/>
        <v>46996</v>
      </c>
      <c r="E81" t="str">
        <f ca="1"/>
        <v/>
      </c>
      <c r="F81" t="str">
        <f ca="1"/>
        <v/>
      </c>
      <c r="G81" t="str">
        <f ca="1"/>
        <v/>
      </c>
      <c r="M81" s="26">
        <f>'II. EU CTB &amp; PAB Report'!C104</f>
        <v>46996</v>
      </c>
      <c r="N81" s="26" t="str">
        <f>'II. EU CTB &amp; PAB Report'!$F$10&amp;REF!A81</f>
        <v>iBoxx MSCI GBP Corporates Paris Aligned Capped TCA Index77</v>
      </c>
      <c r="O81" s="32">
        <f>IF(VLOOKUP(N81,PAB_CTB_Database!$B:$I,8,FALSE)="***",NA(),VLOOKUP(N81,PAB_CTB_Database!$B:$I,8,FALSE))</f>
        <v>0</v>
      </c>
      <c r="P81" s="32">
        <f>IF(VLOOKUP(N81,PAB_CTB_Database!$B:$J,9,FALSE)="***",NA(),VLOOKUP(N81,PAB_CTB_Database!$B:$J,9,FALSE))</f>
        <v>0</v>
      </c>
      <c r="Q81" s="32">
        <f>IF(VLOOKUP(N81,PAB_CTB_Database!$B:$K,10,FALSE)="***",NA(),VLOOKUP(N81,PAB_CTB_Database!$B:$K,10,FALSE))</f>
        <v>12181430.27357419</v>
      </c>
      <c r="R81" s="32">
        <f>IF(VLOOKUP(N81,PAB_CTB_Database!$B:$M,12,FALSE)="***",NA(),VLOOKUP(N81,PAB_CTB_Database!$B:$M,12,FALSE))</f>
        <v>0</v>
      </c>
      <c r="S81" s="32">
        <f>IF(VLOOKUP(N81,PAB_CTB_Database!$B:$N,13,FALSE)="***",NA(),VLOOKUP(N81,PAB_CTB_Database!$B:$N,13,FALSE))</f>
        <v>0</v>
      </c>
      <c r="U81" s="26">
        <f t="shared" si="8"/>
        <v>46996</v>
      </c>
      <c r="V81" s="26" t="str">
        <f t="shared" si="9"/>
        <v>iBoxx MSCI GBP Corporates Paris Aligned Capped TCA Index77</v>
      </c>
      <c r="W81" s="32" t="e">
        <f t="shared" si="10"/>
        <v>#N/A</v>
      </c>
      <c r="X81" s="32" t="e">
        <f t="shared" si="11"/>
        <v>#N/A</v>
      </c>
      <c r="Y81" s="32" t="e">
        <f t="shared" si="12"/>
        <v>#N/A</v>
      </c>
      <c r="Z81" s="32">
        <f t="shared" si="13"/>
        <v>12181430.27357419</v>
      </c>
      <c r="AA81" s="32" t="e">
        <f t="shared" si="14"/>
        <v>#N/A</v>
      </c>
    </row>
    <row r="82" spans="1:27" x14ac:dyDescent="0.35">
      <c r="A82">
        <v>78</v>
      </c>
      <c r="C82">
        <f ca="1"/>
        <v>47026</v>
      </c>
      <c r="E82" t="str">
        <f ca="1"/>
        <v/>
      </c>
      <c r="F82" t="str">
        <f ca="1"/>
        <v/>
      </c>
      <c r="G82" t="str">
        <f ca="1"/>
        <v/>
      </c>
      <c r="M82" s="26">
        <f>'II. EU CTB &amp; PAB Report'!C105</f>
        <v>47026</v>
      </c>
      <c r="N82" s="26" t="str">
        <f>'II. EU CTB &amp; PAB Report'!$F$10&amp;REF!A82</f>
        <v>iBoxx MSCI GBP Corporates Paris Aligned Capped TCA Index78</v>
      </c>
      <c r="O82" s="32">
        <f>IF(VLOOKUP(N82,PAB_CTB_Database!$B:$I,8,FALSE)="***",NA(),VLOOKUP(N82,PAB_CTB_Database!$B:$I,8,FALSE))</f>
        <v>0</v>
      </c>
      <c r="P82" s="32">
        <f>IF(VLOOKUP(N82,PAB_CTB_Database!$B:$J,9,FALSE)="***",NA(),VLOOKUP(N82,PAB_CTB_Database!$B:$J,9,FALSE))</f>
        <v>0</v>
      </c>
      <c r="Q82" s="32">
        <f>IF(VLOOKUP(N82,PAB_CTB_Database!$B:$K,10,FALSE)="***",NA(),VLOOKUP(N82,PAB_CTB_Database!$B:$K,10,FALSE))</f>
        <v>12107984.677768765</v>
      </c>
      <c r="R82" s="32">
        <f>IF(VLOOKUP(N82,PAB_CTB_Database!$B:$M,12,FALSE)="***",NA(),VLOOKUP(N82,PAB_CTB_Database!$B:$M,12,FALSE))</f>
        <v>0</v>
      </c>
      <c r="S82" s="32">
        <f>IF(VLOOKUP(N82,PAB_CTB_Database!$B:$N,13,FALSE)="***",NA(),VLOOKUP(N82,PAB_CTB_Database!$B:$N,13,FALSE))</f>
        <v>0</v>
      </c>
      <c r="U82" s="26">
        <f t="shared" si="8"/>
        <v>47026</v>
      </c>
      <c r="V82" s="26" t="str">
        <f t="shared" si="9"/>
        <v>iBoxx MSCI GBP Corporates Paris Aligned Capped TCA Index78</v>
      </c>
      <c r="W82" s="32" t="e">
        <f t="shared" si="10"/>
        <v>#N/A</v>
      </c>
      <c r="X82" s="32" t="e">
        <f t="shared" si="11"/>
        <v>#N/A</v>
      </c>
      <c r="Y82" s="32" t="e">
        <f t="shared" si="12"/>
        <v>#N/A</v>
      </c>
      <c r="Z82" s="32">
        <f t="shared" si="13"/>
        <v>12107984.677768765</v>
      </c>
      <c r="AA82" s="32" t="e">
        <f t="shared" si="14"/>
        <v>#N/A</v>
      </c>
    </row>
    <row r="83" spans="1:27" x14ac:dyDescent="0.35">
      <c r="A83">
        <v>79</v>
      </c>
      <c r="C83">
        <f ca="1"/>
        <v>47057</v>
      </c>
      <c r="E83" t="str">
        <f ca="1"/>
        <v/>
      </c>
      <c r="F83" t="str">
        <f ca="1"/>
        <v/>
      </c>
      <c r="G83" t="str">
        <f ca="1"/>
        <v/>
      </c>
      <c r="M83" s="26">
        <f>'II. EU CTB &amp; PAB Report'!C106</f>
        <v>47057</v>
      </c>
      <c r="N83" s="26" t="str">
        <f>'II. EU CTB &amp; PAB Report'!$F$10&amp;REF!A83</f>
        <v>iBoxx MSCI GBP Corporates Paris Aligned Capped TCA Index79</v>
      </c>
      <c r="O83" s="32">
        <f>IF(VLOOKUP(N83,PAB_CTB_Database!$B:$I,8,FALSE)="***",NA(),VLOOKUP(N83,PAB_CTB_Database!$B:$I,8,FALSE))</f>
        <v>0</v>
      </c>
      <c r="P83" s="32">
        <f>IF(VLOOKUP(N83,PAB_CTB_Database!$B:$J,9,FALSE)="***",NA(),VLOOKUP(N83,PAB_CTB_Database!$B:$J,9,FALSE))</f>
        <v>0</v>
      </c>
      <c r="Q83" s="32">
        <f>IF(VLOOKUP(N83,PAB_CTB_Database!$B:$K,10,FALSE)="***",NA(),VLOOKUP(N83,PAB_CTB_Database!$B:$K,10,FALSE))</f>
        <v>12034981.908086553</v>
      </c>
      <c r="R83" s="32">
        <f>IF(VLOOKUP(N83,PAB_CTB_Database!$B:$M,12,FALSE)="***",NA(),VLOOKUP(N83,PAB_CTB_Database!$B:$M,12,FALSE))</f>
        <v>0</v>
      </c>
      <c r="S83" s="32">
        <f>IF(VLOOKUP(N83,PAB_CTB_Database!$B:$N,13,FALSE)="***",NA(),VLOOKUP(N83,PAB_CTB_Database!$B:$N,13,FALSE))</f>
        <v>0</v>
      </c>
      <c r="U83" s="26">
        <f t="shared" si="8"/>
        <v>47057</v>
      </c>
      <c r="V83" s="26" t="str">
        <f t="shared" si="9"/>
        <v>iBoxx MSCI GBP Corporates Paris Aligned Capped TCA Index79</v>
      </c>
      <c r="W83" s="32" t="e">
        <f t="shared" si="10"/>
        <v>#N/A</v>
      </c>
      <c r="X83" s="32" t="e">
        <f t="shared" si="11"/>
        <v>#N/A</v>
      </c>
      <c r="Y83" s="32" t="e">
        <f t="shared" si="12"/>
        <v>#N/A</v>
      </c>
      <c r="Z83" s="32">
        <f t="shared" si="13"/>
        <v>12034981.908086553</v>
      </c>
      <c r="AA83" s="32" t="e">
        <f t="shared" si="14"/>
        <v>#N/A</v>
      </c>
    </row>
    <row r="84" spans="1:27" x14ac:dyDescent="0.35">
      <c r="A84">
        <v>80</v>
      </c>
      <c r="C84">
        <f ca="1"/>
        <v>47087</v>
      </c>
      <c r="E84" t="str">
        <f ca="1"/>
        <v/>
      </c>
      <c r="F84" t="str">
        <f ca="1"/>
        <v/>
      </c>
      <c r="G84" t="str">
        <f ca="1"/>
        <v/>
      </c>
      <c r="M84" s="26">
        <f>'II. EU CTB &amp; PAB Report'!C107</f>
        <v>47087</v>
      </c>
      <c r="N84" s="26" t="str">
        <f>'II. EU CTB &amp; PAB Report'!$F$10&amp;REF!A84</f>
        <v>iBoxx MSCI GBP Corporates Paris Aligned Capped TCA Index80</v>
      </c>
      <c r="O84" s="32">
        <f>IF(VLOOKUP(N84,PAB_CTB_Database!$B:$I,8,FALSE)="***",NA(),VLOOKUP(N84,PAB_CTB_Database!$B:$I,8,FALSE))</f>
        <v>0</v>
      </c>
      <c r="P84" s="32">
        <f>IF(VLOOKUP(N84,PAB_CTB_Database!$B:$J,9,FALSE)="***",NA(),VLOOKUP(N84,PAB_CTB_Database!$B:$J,9,FALSE))</f>
        <v>0</v>
      </c>
      <c r="Q84" s="32">
        <f>IF(VLOOKUP(N84,PAB_CTB_Database!$B:$K,10,FALSE)="***",NA(),VLOOKUP(N84,PAB_CTB_Database!$B:$K,10,FALSE))</f>
        <v>11962419.294592435</v>
      </c>
      <c r="R84" s="32">
        <f>IF(VLOOKUP(N84,PAB_CTB_Database!$B:$M,12,FALSE)="***",NA(),VLOOKUP(N84,PAB_CTB_Database!$B:$M,12,FALSE))</f>
        <v>0</v>
      </c>
      <c r="S84" s="32">
        <f>IF(VLOOKUP(N84,PAB_CTB_Database!$B:$N,13,FALSE)="***",NA(),VLOOKUP(N84,PAB_CTB_Database!$B:$N,13,FALSE))</f>
        <v>0</v>
      </c>
      <c r="U84" s="26">
        <f t="shared" si="8"/>
        <v>47087</v>
      </c>
      <c r="V84" s="26" t="str">
        <f t="shared" si="9"/>
        <v>iBoxx MSCI GBP Corporates Paris Aligned Capped TCA Index80</v>
      </c>
      <c r="W84" s="32" t="e">
        <f t="shared" si="10"/>
        <v>#N/A</v>
      </c>
      <c r="X84" s="32" t="e">
        <f t="shared" si="11"/>
        <v>#N/A</v>
      </c>
      <c r="Y84" s="32" t="e">
        <f t="shared" si="12"/>
        <v>#N/A</v>
      </c>
      <c r="Z84" s="32">
        <f t="shared" si="13"/>
        <v>11962419.294592435</v>
      </c>
      <c r="AA84" s="32" t="e">
        <f t="shared" si="14"/>
        <v>#N/A</v>
      </c>
    </row>
    <row r="85" spans="1:27" x14ac:dyDescent="0.35">
      <c r="A85">
        <v>81</v>
      </c>
      <c r="C85">
        <f ca="1"/>
        <v>47118</v>
      </c>
      <c r="E85" t="str">
        <f ca="1"/>
        <v/>
      </c>
      <c r="F85" t="str">
        <f ca="1"/>
        <v/>
      </c>
      <c r="G85" t="str">
        <f ca="1"/>
        <v/>
      </c>
      <c r="M85" s="26">
        <f>'II. EU CTB &amp; PAB Report'!C108</f>
        <v>47118</v>
      </c>
      <c r="N85" s="26" t="str">
        <f>'II. EU CTB &amp; PAB Report'!$F$10&amp;REF!A85</f>
        <v>iBoxx MSCI GBP Corporates Paris Aligned Capped TCA Index81</v>
      </c>
      <c r="O85" s="32">
        <f>IF(VLOOKUP(N85,PAB_CTB_Database!$B:$I,8,FALSE)="***",NA(),VLOOKUP(N85,PAB_CTB_Database!$B:$I,8,FALSE))</f>
        <v>0</v>
      </c>
      <c r="P85" s="32">
        <f>IF(VLOOKUP(N85,PAB_CTB_Database!$B:$J,9,FALSE)="***",NA(),VLOOKUP(N85,PAB_CTB_Database!$B:$J,9,FALSE))</f>
        <v>0</v>
      </c>
      <c r="Q85" s="32">
        <f>IF(VLOOKUP(N85,PAB_CTB_Database!$B:$K,10,FALSE)="***",NA(),VLOOKUP(N85,PAB_CTB_Database!$B:$K,10,FALSE))</f>
        <v>11890294.183449158</v>
      </c>
      <c r="R85" s="32">
        <f>IF(VLOOKUP(N85,PAB_CTB_Database!$B:$M,12,FALSE)="***",NA(),VLOOKUP(N85,PAB_CTB_Database!$B:$M,12,FALSE))</f>
        <v>0</v>
      </c>
      <c r="S85" s="32">
        <f>IF(VLOOKUP(N85,PAB_CTB_Database!$B:$N,13,FALSE)="***",NA(),VLOOKUP(N85,PAB_CTB_Database!$B:$N,13,FALSE))</f>
        <v>0</v>
      </c>
      <c r="U85" s="26">
        <f t="shared" si="8"/>
        <v>47118</v>
      </c>
      <c r="V85" s="26" t="str">
        <f t="shared" si="9"/>
        <v>iBoxx MSCI GBP Corporates Paris Aligned Capped TCA Index81</v>
      </c>
      <c r="W85" s="32" t="e">
        <f t="shared" si="10"/>
        <v>#N/A</v>
      </c>
      <c r="X85" s="32" t="e">
        <f t="shared" si="11"/>
        <v>#N/A</v>
      </c>
      <c r="Y85" s="32" t="e">
        <f t="shared" si="12"/>
        <v>#N/A</v>
      </c>
      <c r="Z85" s="32">
        <f t="shared" si="13"/>
        <v>11890294.183449158</v>
      </c>
      <c r="AA85" s="32" t="e">
        <f t="shared" si="14"/>
        <v>#N/A</v>
      </c>
    </row>
    <row r="86" spans="1:27" x14ac:dyDescent="0.35">
      <c r="A86">
        <v>82</v>
      </c>
      <c r="C86">
        <f ca="1"/>
        <v>47149</v>
      </c>
      <c r="E86" t="str">
        <f ca="1"/>
        <v/>
      </c>
      <c r="F86" t="str">
        <f ca="1"/>
        <v/>
      </c>
      <c r="G86" t="str">
        <f ca="1"/>
        <v/>
      </c>
      <c r="M86" s="26">
        <f>'II. EU CTB &amp; PAB Report'!C109</f>
        <v>47149</v>
      </c>
      <c r="N86" s="26" t="str">
        <f>'II. EU CTB &amp; PAB Report'!$F$10&amp;REF!A86</f>
        <v>iBoxx MSCI GBP Corporates Paris Aligned Capped TCA Index82</v>
      </c>
      <c r="O86" s="32">
        <f>IF(VLOOKUP(N86,PAB_CTB_Database!$B:$I,8,FALSE)="***",NA(),VLOOKUP(N86,PAB_CTB_Database!$B:$I,8,FALSE))</f>
        <v>0</v>
      </c>
      <c r="P86" s="32">
        <f>IF(VLOOKUP(N86,PAB_CTB_Database!$B:$J,9,FALSE)="***",NA(),VLOOKUP(N86,PAB_CTB_Database!$B:$J,9,FALSE))</f>
        <v>0</v>
      </c>
      <c r="Q86" s="32">
        <f>IF(VLOOKUP(N86,PAB_CTB_Database!$B:$K,10,FALSE)="***",NA(),VLOOKUP(N86,PAB_CTB_Database!$B:$K,10,FALSE))</f>
        <v>11818603.936820265</v>
      </c>
      <c r="R86" s="32">
        <f>IF(VLOOKUP(N86,PAB_CTB_Database!$B:$M,12,FALSE)="***",NA(),VLOOKUP(N86,PAB_CTB_Database!$B:$M,12,FALSE))</f>
        <v>0</v>
      </c>
      <c r="S86" s="32">
        <f>IF(VLOOKUP(N86,PAB_CTB_Database!$B:$N,13,FALSE)="***",NA(),VLOOKUP(N86,PAB_CTB_Database!$B:$N,13,FALSE))</f>
        <v>0</v>
      </c>
      <c r="U86" s="26">
        <f t="shared" si="8"/>
        <v>47149</v>
      </c>
      <c r="V86" s="26" t="str">
        <f t="shared" si="9"/>
        <v>iBoxx MSCI GBP Corporates Paris Aligned Capped TCA Index82</v>
      </c>
      <c r="W86" s="32" t="e">
        <f t="shared" si="10"/>
        <v>#N/A</v>
      </c>
      <c r="X86" s="32" t="e">
        <f t="shared" si="11"/>
        <v>#N/A</v>
      </c>
      <c r="Y86" s="32" t="e">
        <f t="shared" si="12"/>
        <v>#N/A</v>
      </c>
      <c r="Z86" s="32">
        <f t="shared" si="13"/>
        <v>11818603.936820265</v>
      </c>
      <c r="AA86" s="32" t="e">
        <f t="shared" si="14"/>
        <v>#N/A</v>
      </c>
    </row>
    <row r="87" spans="1:27" x14ac:dyDescent="0.35">
      <c r="A87">
        <v>83</v>
      </c>
      <c r="C87">
        <f ca="1"/>
        <v>47177</v>
      </c>
      <c r="E87" t="str">
        <f ca="1"/>
        <v/>
      </c>
      <c r="F87" t="str">
        <f ca="1"/>
        <v/>
      </c>
      <c r="G87" t="str">
        <f ca="1"/>
        <v/>
      </c>
      <c r="M87" s="26">
        <f>'II. EU CTB &amp; PAB Report'!C110</f>
        <v>47177</v>
      </c>
      <c r="N87" s="26" t="str">
        <f>'II. EU CTB &amp; PAB Report'!$F$10&amp;REF!A87</f>
        <v>iBoxx MSCI GBP Corporates Paris Aligned Capped TCA Index83</v>
      </c>
      <c r="O87" s="32">
        <f>IF(VLOOKUP(N87,PAB_CTB_Database!$B:$I,8,FALSE)="***",NA(),VLOOKUP(N87,PAB_CTB_Database!$B:$I,8,FALSE))</f>
        <v>0</v>
      </c>
      <c r="P87" s="32">
        <f>IF(VLOOKUP(N87,PAB_CTB_Database!$B:$J,9,FALSE)="***",NA(),VLOOKUP(N87,PAB_CTB_Database!$B:$J,9,FALSE))</f>
        <v>0</v>
      </c>
      <c r="Q87" s="32">
        <f>IF(VLOOKUP(N87,PAB_CTB_Database!$B:$K,10,FALSE)="***",NA(),VLOOKUP(N87,PAB_CTB_Database!$B:$K,10,FALSE))</f>
        <v>11747345.932773635</v>
      </c>
      <c r="R87" s="32">
        <f>IF(VLOOKUP(N87,PAB_CTB_Database!$B:$M,12,FALSE)="***",NA(),VLOOKUP(N87,PAB_CTB_Database!$B:$M,12,FALSE))</f>
        <v>0</v>
      </c>
      <c r="S87" s="32">
        <f>IF(VLOOKUP(N87,PAB_CTB_Database!$B:$N,13,FALSE)="***",NA(),VLOOKUP(N87,PAB_CTB_Database!$B:$N,13,FALSE))</f>
        <v>0</v>
      </c>
      <c r="U87" s="26">
        <f t="shared" si="8"/>
        <v>47177</v>
      </c>
      <c r="V87" s="26" t="str">
        <f t="shared" si="9"/>
        <v>iBoxx MSCI GBP Corporates Paris Aligned Capped TCA Index83</v>
      </c>
      <c r="W87" s="32" t="e">
        <f t="shared" si="10"/>
        <v>#N/A</v>
      </c>
      <c r="X87" s="32" t="e">
        <f t="shared" si="11"/>
        <v>#N/A</v>
      </c>
      <c r="Y87" s="32" t="e">
        <f t="shared" si="12"/>
        <v>#N/A</v>
      </c>
      <c r="Z87" s="32">
        <f t="shared" si="13"/>
        <v>11747345.932773635</v>
      </c>
      <c r="AA87" s="32" t="e">
        <f t="shared" si="14"/>
        <v>#N/A</v>
      </c>
    </row>
    <row r="88" spans="1:27" x14ac:dyDescent="0.35">
      <c r="A88">
        <v>84</v>
      </c>
      <c r="C88">
        <f ca="1"/>
        <v>47208</v>
      </c>
      <c r="E88" t="str">
        <f ca="1"/>
        <v/>
      </c>
      <c r="F88" t="str">
        <f ca="1"/>
        <v/>
      </c>
      <c r="G88" t="str">
        <f ca="1"/>
        <v/>
      </c>
      <c r="M88" s="26">
        <f>'II. EU CTB &amp; PAB Report'!C111</f>
        <v>47208</v>
      </c>
      <c r="N88" s="26" t="str">
        <f>'II. EU CTB &amp; PAB Report'!$F$10&amp;REF!A88</f>
        <v>iBoxx MSCI GBP Corporates Paris Aligned Capped TCA Index84</v>
      </c>
      <c r="O88" s="32">
        <f>IF(VLOOKUP(N88,PAB_CTB_Database!$B:$I,8,FALSE)="***",NA(),VLOOKUP(N88,PAB_CTB_Database!$B:$I,8,FALSE))</f>
        <v>0</v>
      </c>
      <c r="P88" s="32">
        <f>IF(VLOOKUP(N88,PAB_CTB_Database!$B:$J,9,FALSE)="***",NA(),VLOOKUP(N88,PAB_CTB_Database!$B:$J,9,FALSE))</f>
        <v>0</v>
      </c>
      <c r="Q88" s="32">
        <f>IF(VLOOKUP(N88,PAB_CTB_Database!$B:$K,10,FALSE)="***",NA(),VLOOKUP(N88,PAB_CTB_Database!$B:$K,10,FALSE))</f>
        <v>11676517.56518558</v>
      </c>
      <c r="R88" s="32">
        <f>IF(VLOOKUP(N88,PAB_CTB_Database!$B:$M,12,FALSE)="***",NA(),VLOOKUP(N88,PAB_CTB_Database!$B:$M,12,FALSE))</f>
        <v>0</v>
      </c>
      <c r="S88" s="32">
        <f>IF(VLOOKUP(N88,PAB_CTB_Database!$B:$N,13,FALSE)="***",NA(),VLOOKUP(N88,PAB_CTB_Database!$B:$N,13,FALSE))</f>
        <v>0</v>
      </c>
      <c r="U88" s="26">
        <f t="shared" si="8"/>
        <v>47208</v>
      </c>
      <c r="V88" s="26" t="str">
        <f t="shared" si="9"/>
        <v>iBoxx MSCI GBP Corporates Paris Aligned Capped TCA Index84</v>
      </c>
      <c r="W88" s="32" t="e">
        <f t="shared" si="10"/>
        <v>#N/A</v>
      </c>
      <c r="X88" s="32" t="e">
        <f t="shared" si="11"/>
        <v>#N/A</v>
      </c>
      <c r="Y88" s="32" t="e">
        <f t="shared" si="12"/>
        <v>#N/A</v>
      </c>
      <c r="Z88" s="32">
        <f t="shared" si="13"/>
        <v>11676517.56518558</v>
      </c>
      <c r="AA88" s="32" t="e">
        <f t="shared" si="14"/>
        <v>#N/A</v>
      </c>
    </row>
    <row r="89" spans="1:27" x14ac:dyDescent="0.35">
      <c r="A89">
        <v>85</v>
      </c>
      <c r="C89">
        <f ca="1"/>
        <v>47238</v>
      </c>
      <c r="E89" t="str">
        <f ca="1"/>
        <v/>
      </c>
      <c r="F89" t="str">
        <f ca="1"/>
        <v/>
      </c>
      <c r="G89" t="str">
        <f ca="1"/>
        <v/>
      </c>
      <c r="M89" s="26">
        <f>'II. EU CTB &amp; PAB Report'!C112</f>
        <v>47238</v>
      </c>
      <c r="N89" s="26" t="str">
        <f>'II. EU CTB &amp; PAB Report'!$F$10&amp;REF!A89</f>
        <v>iBoxx MSCI GBP Corporates Paris Aligned Capped TCA Index85</v>
      </c>
      <c r="O89" s="32">
        <f>IF(VLOOKUP(N89,PAB_CTB_Database!$B:$I,8,FALSE)="***",NA(),VLOOKUP(N89,PAB_CTB_Database!$B:$I,8,FALSE))</f>
        <v>0</v>
      </c>
      <c r="P89" s="32">
        <f>IF(VLOOKUP(N89,PAB_CTB_Database!$B:$J,9,FALSE)="***",NA(),VLOOKUP(N89,PAB_CTB_Database!$B:$J,9,FALSE))</f>
        <v>0</v>
      </c>
      <c r="Q89" s="32">
        <f>IF(VLOOKUP(N89,PAB_CTB_Database!$B:$K,10,FALSE)="***",NA(),VLOOKUP(N89,PAB_CTB_Database!$B:$K,10,FALSE))</f>
        <v>11606116.243645532</v>
      </c>
      <c r="R89" s="32">
        <f>IF(VLOOKUP(N89,PAB_CTB_Database!$B:$M,12,FALSE)="***",NA(),VLOOKUP(N89,PAB_CTB_Database!$B:$M,12,FALSE))</f>
        <v>0</v>
      </c>
      <c r="S89" s="32">
        <f>IF(VLOOKUP(N89,PAB_CTB_Database!$B:$N,13,FALSE)="***",NA(),VLOOKUP(N89,PAB_CTB_Database!$B:$N,13,FALSE))</f>
        <v>0</v>
      </c>
      <c r="U89" s="26">
        <f t="shared" si="8"/>
        <v>47238</v>
      </c>
      <c r="V89" s="26" t="str">
        <f t="shared" si="9"/>
        <v>iBoxx MSCI GBP Corporates Paris Aligned Capped TCA Index85</v>
      </c>
      <c r="W89" s="32" t="e">
        <f t="shared" si="10"/>
        <v>#N/A</v>
      </c>
      <c r="X89" s="32" t="e">
        <f t="shared" si="11"/>
        <v>#N/A</v>
      </c>
      <c r="Y89" s="32" t="e">
        <f t="shared" si="12"/>
        <v>#N/A</v>
      </c>
      <c r="Z89" s="32">
        <f t="shared" si="13"/>
        <v>11606116.243645532</v>
      </c>
      <c r="AA89" s="32" t="e">
        <f t="shared" si="14"/>
        <v>#N/A</v>
      </c>
    </row>
    <row r="90" spans="1:27" x14ac:dyDescent="0.35">
      <c r="A90">
        <v>86</v>
      </c>
      <c r="C90">
        <f ca="1"/>
        <v>47269</v>
      </c>
      <c r="E90" t="str">
        <f ca="1"/>
        <v/>
      </c>
      <c r="F90" t="str">
        <f ca="1"/>
        <v/>
      </c>
      <c r="G90" t="str">
        <f ca="1"/>
        <v/>
      </c>
      <c r="M90" s="26">
        <f>'II. EU CTB &amp; PAB Report'!C113</f>
        <v>47269</v>
      </c>
      <c r="N90" s="26" t="str">
        <f>'II. EU CTB &amp; PAB Report'!$F$10&amp;REF!A90</f>
        <v>iBoxx MSCI GBP Corporates Paris Aligned Capped TCA Index86</v>
      </c>
      <c r="O90" s="32">
        <f>IF(VLOOKUP(N90,PAB_CTB_Database!$B:$I,8,FALSE)="***",NA(),VLOOKUP(N90,PAB_CTB_Database!$B:$I,8,FALSE))</f>
        <v>0</v>
      </c>
      <c r="P90" s="32">
        <f>IF(VLOOKUP(N90,PAB_CTB_Database!$B:$J,9,FALSE)="***",NA(),VLOOKUP(N90,PAB_CTB_Database!$B:$J,9,FALSE))</f>
        <v>0</v>
      </c>
      <c r="Q90" s="32">
        <f>IF(VLOOKUP(N90,PAB_CTB_Database!$B:$K,10,FALSE)="***",NA(),VLOOKUP(N90,PAB_CTB_Database!$B:$K,10,FALSE))</f>
        <v>11536139.393361315</v>
      </c>
      <c r="R90" s="32">
        <f>IF(VLOOKUP(N90,PAB_CTB_Database!$B:$M,12,FALSE)="***",NA(),VLOOKUP(N90,PAB_CTB_Database!$B:$M,12,FALSE))</f>
        <v>0</v>
      </c>
      <c r="S90" s="32">
        <f>IF(VLOOKUP(N90,PAB_CTB_Database!$B:$N,13,FALSE)="***",NA(),VLOOKUP(N90,PAB_CTB_Database!$B:$N,13,FALSE))</f>
        <v>0</v>
      </c>
      <c r="U90" s="26">
        <f t="shared" si="8"/>
        <v>47269</v>
      </c>
      <c r="V90" s="26" t="str">
        <f t="shared" si="9"/>
        <v>iBoxx MSCI GBP Corporates Paris Aligned Capped TCA Index86</v>
      </c>
      <c r="W90" s="32" t="e">
        <f t="shared" si="10"/>
        <v>#N/A</v>
      </c>
      <c r="X90" s="32" t="e">
        <f t="shared" si="11"/>
        <v>#N/A</v>
      </c>
      <c r="Y90" s="32" t="e">
        <f t="shared" si="12"/>
        <v>#N/A</v>
      </c>
      <c r="Z90" s="32">
        <f t="shared" si="13"/>
        <v>11536139.393361315</v>
      </c>
      <c r="AA90" s="32" t="e">
        <f t="shared" si="14"/>
        <v>#N/A</v>
      </c>
    </row>
    <row r="91" spans="1:27" x14ac:dyDescent="0.35">
      <c r="A91">
        <v>87</v>
      </c>
      <c r="C91">
        <f ca="1"/>
        <v>47299</v>
      </c>
      <c r="E91" t="str">
        <f ca="1"/>
        <v/>
      </c>
      <c r="F91" t="str">
        <f ca="1"/>
        <v/>
      </c>
      <c r="G91" t="str">
        <f ca="1"/>
        <v/>
      </c>
      <c r="M91" s="26">
        <f>'II. EU CTB &amp; PAB Report'!C114</f>
        <v>47299</v>
      </c>
      <c r="N91" s="26" t="str">
        <f>'II. EU CTB &amp; PAB Report'!$F$10&amp;REF!A91</f>
        <v>iBoxx MSCI GBP Corporates Paris Aligned Capped TCA Index87</v>
      </c>
      <c r="O91" s="32">
        <f>IF(VLOOKUP(N91,PAB_CTB_Database!$B:$I,8,FALSE)="***",NA(),VLOOKUP(N91,PAB_CTB_Database!$B:$I,8,FALSE))</f>
        <v>0</v>
      </c>
      <c r="P91" s="32">
        <f>IF(VLOOKUP(N91,PAB_CTB_Database!$B:$J,9,FALSE)="***",NA(),VLOOKUP(N91,PAB_CTB_Database!$B:$J,9,FALSE))</f>
        <v>0</v>
      </c>
      <c r="Q91" s="32">
        <f>IF(VLOOKUP(N91,PAB_CTB_Database!$B:$K,10,FALSE)="***",NA(),VLOOKUP(N91,PAB_CTB_Database!$B:$K,10,FALSE))</f>
        <v>11466584.455064958</v>
      </c>
      <c r="R91" s="32">
        <f>IF(VLOOKUP(N91,PAB_CTB_Database!$B:$M,12,FALSE)="***",NA(),VLOOKUP(N91,PAB_CTB_Database!$B:$M,12,FALSE))</f>
        <v>0</v>
      </c>
      <c r="S91" s="32">
        <f>IF(VLOOKUP(N91,PAB_CTB_Database!$B:$N,13,FALSE)="***",NA(),VLOOKUP(N91,PAB_CTB_Database!$B:$N,13,FALSE))</f>
        <v>0</v>
      </c>
      <c r="U91" s="26">
        <f t="shared" si="8"/>
        <v>47299</v>
      </c>
      <c r="V91" s="26" t="str">
        <f t="shared" si="9"/>
        <v>iBoxx MSCI GBP Corporates Paris Aligned Capped TCA Index87</v>
      </c>
      <c r="W91" s="32" t="e">
        <f t="shared" si="10"/>
        <v>#N/A</v>
      </c>
      <c r="X91" s="32" t="e">
        <f t="shared" si="11"/>
        <v>#N/A</v>
      </c>
      <c r="Y91" s="32" t="e">
        <f t="shared" si="12"/>
        <v>#N/A</v>
      </c>
      <c r="Z91" s="32">
        <f t="shared" si="13"/>
        <v>11466584.455064958</v>
      </c>
      <c r="AA91" s="32" t="e">
        <f t="shared" si="14"/>
        <v>#N/A</v>
      </c>
    </row>
    <row r="92" spans="1:27" x14ac:dyDescent="0.35">
      <c r="A92">
        <v>88</v>
      </c>
      <c r="C92">
        <f ca="1"/>
        <v>47330</v>
      </c>
      <c r="E92" t="str">
        <f ca="1"/>
        <v/>
      </c>
      <c r="F92" t="str">
        <f ca="1"/>
        <v/>
      </c>
      <c r="G92" t="str">
        <f ca="1"/>
        <v/>
      </c>
      <c r="M92" s="26">
        <f>'II. EU CTB &amp; PAB Report'!C115</f>
        <v>47330</v>
      </c>
      <c r="N92" s="26" t="str">
        <f>'II. EU CTB &amp; PAB Report'!$F$10&amp;REF!A92</f>
        <v>iBoxx MSCI GBP Corporates Paris Aligned Capped TCA Index88</v>
      </c>
      <c r="O92" s="32">
        <f>IF(VLOOKUP(N92,PAB_CTB_Database!$B:$I,8,FALSE)="***",NA(),VLOOKUP(N92,PAB_CTB_Database!$B:$I,8,FALSE))</f>
        <v>0</v>
      </c>
      <c r="P92" s="32">
        <f>IF(VLOOKUP(N92,PAB_CTB_Database!$B:$J,9,FALSE)="***",NA(),VLOOKUP(N92,PAB_CTB_Database!$B:$J,9,FALSE))</f>
        <v>0</v>
      </c>
      <c r="Q92" s="32">
        <f>IF(VLOOKUP(N92,PAB_CTB_Database!$B:$K,10,FALSE)="***",NA(),VLOOKUP(N92,PAB_CTB_Database!$B:$K,10,FALSE))</f>
        <v>11397448.884919109</v>
      </c>
      <c r="R92" s="32">
        <f>IF(VLOOKUP(N92,PAB_CTB_Database!$B:$M,12,FALSE)="***",NA(),VLOOKUP(N92,PAB_CTB_Database!$B:$M,12,FALSE))</f>
        <v>0</v>
      </c>
      <c r="S92" s="32">
        <f>IF(VLOOKUP(N92,PAB_CTB_Database!$B:$N,13,FALSE)="***",NA(),VLOOKUP(N92,PAB_CTB_Database!$B:$N,13,FALSE))</f>
        <v>0</v>
      </c>
      <c r="U92" s="26">
        <f t="shared" si="8"/>
        <v>47330</v>
      </c>
      <c r="V92" s="26" t="str">
        <f t="shared" si="9"/>
        <v>iBoxx MSCI GBP Corporates Paris Aligned Capped TCA Index88</v>
      </c>
      <c r="W92" s="32" t="e">
        <f t="shared" si="10"/>
        <v>#N/A</v>
      </c>
      <c r="X92" s="32" t="e">
        <f t="shared" si="11"/>
        <v>#N/A</v>
      </c>
      <c r="Y92" s="32" t="e">
        <f t="shared" si="12"/>
        <v>#N/A</v>
      </c>
      <c r="Z92" s="32">
        <f t="shared" si="13"/>
        <v>11397448.884919109</v>
      </c>
      <c r="AA92" s="32" t="e">
        <f t="shared" si="14"/>
        <v>#N/A</v>
      </c>
    </row>
    <row r="93" spans="1:27" x14ac:dyDescent="0.35">
      <c r="A93">
        <v>89</v>
      </c>
      <c r="C93">
        <f ca="1"/>
        <v>47361</v>
      </c>
      <c r="E93" t="str">
        <f ca="1"/>
        <v/>
      </c>
      <c r="F93" t="str">
        <f ca="1"/>
        <v/>
      </c>
      <c r="G93" t="str">
        <f ca="1"/>
        <v/>
      </c>
      <c r="M93" s="26">
        <f>'II. EU CTB &amp; PAB Report'!C116</f>
        <v>47361</v>
      </c>
      <c r="N93" s="26" t="str">
        <f>'II. EU CTB &amp; PAB Report'!$F$10&amp;REF!A93</f>
        <v>iBoxx MSCI GBP Corporates Paris Aligned Capped TCA Index89</v>
      </c>
      <c r="O93" s="32">
        <f>IF(VLOOKUP(N93,PAB_CTB_Database!$B:$I,8,FALSE)="***",NA(),VLOOKUP(N93,PAB_CTB_Database!$B:$I,8,FALSE))</f>
        <v>0</v>
      </c>
      <c r="P93" s="32">
        <f>IF(VLOOKUP(N93,PAB_CTB_Database!$B:$J,9,FALSE)="***",NA(),VLOOKUP(N93,PAB_CTB_Database!$B:$J,9,FALSE))</f>
        <v>0</v>
      </c>
      <c r="Q93" s="32">
        <f>IF(VLOOKUP(N93,PAB_CTB_Database!$B:$K,10,FALSE)="***",NA(),VLOOKUP(N93,PAB_CTB_Database!$B:$K,10,FALSE))</f>
        <v>11328730.154423997</v>
      </c>
      <c r="R93" s="32">
        <f>IF(VLOOKUP(N93,PAB_CTB_Database!$B:$M,12,FALSE)="***",NA(),VLOOKUP(N93,PAB_CTB_Database!$B:$M,12,FALSE))</f>
        <v>0</v>
      </c>
      <c r="S93" s="32">
        <f>IF(VLOOKUP(N93,PAB_CTB_Database!$B:$N,13,FALSE)="***",NA(),VLOOKUP(N93,PAB_CTB_Database!$B:$N,13,FALSE))</f>
        <v>0</v>
      </c>
      <c r="U93" s="26">
        <f t="shared" si="8"/>
        <v>47361</v>
      </c>
      <c r="V93" s="26" t="str">
        <f t="shared" si="9"/>
        <v>iBoxx MSCI GBP Corporates Paris Aligned Capped TCA Index89</v>
      </c>
      <c r="W93" s="32" t="e">
        <f t="shared" si="10"/>
        <v>#N/A</v>
      </c>
      <c r="X93" s="32" t="e">
        <f t="shared" si="11"/>
        <v>#N/A</v>
      </c>
      <c r="Y93" s="32" t="e">
        <f t="shared" si="12"/>
        <v>#N/A</v>
      </c>
      <c r="Z93" s="32">
        <f t="shared" si="13"/>
        <v>11328730.154423997</v>
      </c>
      <c r="AA93" s="32" t="e">
        <f t="shared" si="14"/>
        <v>#N/A</v>
      </c>
    </row>
    <row r="94" spans="1:27" x14ac:dyDescent="0.35">
      <c r="A94">
        <v>90</v>
      </c>
      <c r="C94">
        <f ca="1"/>
        <v>47391</v>
      </c>
      <c r="E94" t="str">
        <f ca="1"/>
        <v/>
      </c>
      <c r="F94" t="str">
        <f ca="1"/>
        <v/>
      </c>
      <c r="G94" t="str">
        <f ca="1"/>
        <v/>
      </c>
      <c r="M94" s="26">
        <f>'II. EU CTB &amp; PAB Report'!C117</f>
        <v>47391</v>
      </c>
      <c r="N94" s="26" t="str">
        <f>'II. EU CTB &amp; PAB Report'!$F$10&amp;REF!A94</f>
        <v>iBoxx MSCI GBP Corporates Paris Aligned Capped TCA Index90</v>
      </c>
      <c r="O94" s="32">
        <f>IF(VLOOKUP(N94,PAB_CTB_Database!$B:$I,8,FALSE)="***",NA(),VLOOKUP(N94,PAB_CTB_Database!$B:$I,8,FALSE))</f>
        <v>0</v>
      </c>
      <c r="P94" s="32">
        <f>IF(VLOOKUP(N94,PAB_CTB_Database!$B:$J,9,FALSE)="***",NA(),VLOOKUP(N94,PAB_CTB_Database!$B:$J,9,FALSE))</f>
        <v>0</v>
      </c>
      <c r="Q94" s="32">
        <f>IF(VLOOKUP(N94,PAB_CTB_Database!$B:$K,10,FALSE)="***",NA(),VLOOKUP(N94,PAB_CTB_Database!$B:$K,10,FALSE))</f>
        <v>11260425.750324953</v>
      </c>
      <c r="R94" s="32">
        <f>IF(VLOOKUP(N94,PAB_CTB_Database!$B:$M,12,FALSE)="***",NA(),VLOOKUP(N94,PAB_CTB_Database!$B:$M,12,FALSE))</f>
        <v>0</v>
      </c>
      <c r="S94" s="32">
        <f>IF(VLOOKUP(N94,PAB_CTB_Database!$B:$N,13,FALSE)="***",NA(),VLOOKUP(N94,PAB_CTB_Database!$B:$N,13,FALSE))</f>
        <v>0</v>
      </c>
      <c r="U94" s="26">
        <f t="shared" si="8"/>
        <v>47391</v>
      </c>
      <c r="V94" s="26" t="str">
        <f t="shared" si="9"/>
        <v>iBoxx MSCI GBP Corporates Paris Aligned Capped TCA Index90</v>
      </c>
      <c r="W94" s="32" t="e">
        <f t="shared" si="10"/>
        <v>#N/A</v>
      </c>
      <c r="X94" s="32" t="e">
        <f t="shared" si="11"/>
        <v>#N/A</v>
      </c>
      <c r="Y94" s="32" t="e">
        <f t="shared" si="12"/>
        <v>#N/A</v>
      </c>
      <c r="Z94" s="32">
        <f t="shared" si="13"/>
        <v>11260425.750324953</v>
      </c>
      <c r="AA94" s="32" t="e">
        <f t="shared" si="14"/>
        <v>#N/A</v>
      </c>
    </row>
    <row r="95" spans="1:27" x14ac:dyDescent="0.35">
      <c r="A95">
        <v>91</v>
      </c>
      <c r="C95">
        <f ca="1"/>
        <v>47422</v>
      </c>
      <c r="E95" t="str">
        <f ca="1"/>
        <v/>
      </c>
      <c r="F95" t="str">
        <f ca="1"/>
        <v/>
      </c>
      <c r="G95" t="str">
        <f ca="1"/>
        <v/>
      </c>
      <c r="M95" s="26">
        <f>'II. EU CTB &amp; PAB Report'!C118</f>
        <v>47422</v>
      </c>
      <c r="N95" s="26" t="str">
        <f>'II. EU CTB &amp; PAB Report'!$F$10&amp;REF!A95</f>
        <v>iBoxx MSCI GBP Corporates Paris Aligned Capped TCA Index91</v>
      </c>
      <c r="O95" s="32">
        <f>IF(VLOOKUP(N95,PAB_CTB_Database!$B:$I,8,FALSE)="***",NA(),VLOOKUP(N95,PAB_CTB_Database!$B:$I,8,FALSE))</f>
        <v>0</v>
      </c>
      <c r="P95" s="32">
        <f>IF(VLOOKUP(N95,PAB_CTB_Database!$B:$J,9,FALSE)="***",NA(),VLOOKUP(N95,PAB_CTB_Database!$B:$J,9,FALSE))</f>
        <v>0</v>
      </c>
      <c r="Q95" s="32">
        <f>IF(VLOOKUP(N95,PAB_CTB_Database!$B:$K,10,FALSE)="***",NA(),VLOOKUP(N95,PAB_CTB_Database!$B:$K,10,FALSE))</f>
        <v>11192533.174520494</v>
      </c>
      <c r="R95" s="32">
        <f>IF(VLOOKUP(N95,PAB_CTB_Database!$B:$M,12,FALSE)="***",NA(),VLOOKUP(N95,PAB_CTB_Database!$B:$M,12,FALSE))</f>
        <v>0</v>
      </c>
      <c r="S95" s="32">
        <f>IF(VLOOKUP(N95,PAB_CTB_Database!$B:$N,13,FALSE)="***",NA(),VLOOKUP(N95,PAB_CTB_Database!$B:$N,13,FALSE))</f>
        <v>0</v>
      </c>
      <c r="U95" s="26">
        <f t="shared" si="8"/>
        <v>47422</v>
      </c>
      <c r="V95" s="26" t="str">
        <f t="shared" si="9"/>
        <v>iBoxx MSCI GBP Corporates Paris Aligned Capped TCA Index91</v>
      </c>
      <c r="W95" s="32" t="e">
        <f t="shared" si="10"/>
        <v>#N/A</v>
      </c>
      <c r="X95" s="32" t="e">
        <f t="shared" si="11"/>
        <v>#N/A</v>
      </c>
      <c r="Y95" s="32" t="e">
        <f t="shared" si="12"/>
        <v>#N/A</v>
      </c>
      <c r="Z95" s="32">
        <f t="shared" si="13"/>
        <v>11192533.174520494</v>
      </c>
      <c r="AA95" s="32" t="e">
        <f t="shared" si="14"/>
        <v>#N/A</v>
      </c>
    </row>
    <row r="96" spans="1:27" x14ac:dyDescent="0.35">
      <c r="A96">
        <v>92</v>
      </c>
      <c r="C96">
        <f ca="1"/>
        <v>47452</v>
      </c>
      <c r="E96" t="str">
        <f ca="1"/>
        <v/>
      </c>
      <c r="F96" t="str">
        <f ca="1"/>
        <v/>
      </c>
      <c r="G96" t="str">
        <f ca="1"/>
        <v/>
      </c>
      <c r="M96" s="26">
        <f>'II. EU CTB &amp; PAB Report'!C119</f>
        <v>47452</v>
      </c>
      <c r="N96" s="26" t="str">
        <f>'II. EU CTB &amp; PAB Report'!$F$10&amp;REF!A96</f>
        <v>iBoxx MSCI GBP Corporates Paris Aligned Capped TCA Index92</v>
      </c>
      <c r="O96" s="32">
        <f>IF(VLOOKUP(N96,PAB_CTB_Database!$B:$I,8,FALSE)="***",NA(),VLOOKUP(N96,PAB_CTB_Database!$B:$I,8,FALSE))</f>
        <v>0</v>
      </c>
      <c r="P96" s="32">
        <f>IF(VLOOKUP(N96,PAB_CTB_Database!$B:$J,9,FALSE)="***",NA(),VLOOKUP(N96,PAB_CTB_Database!$B:$J,9,FALSE))</f>
        <v>0</v>
      </c>
      <c r="Q96" s="32">
        <f>IF(VLOOKUP(N96,PAB_CTB_Database!$B:$K,10,FALSE)="***",NA(),VLOOKUP(N96,PAB_CTB_Database!$B:$K,10,FALSE))</f>
        <v>11125049.943970967</v>
      </c>
      <c r="R96" s="32">
        <f>IF(VLOOKUP(N96,PAB_CTB_Database!$B:$M,12,FALSE)="***",NA(),VLOOKUP(N96,PAB_CTB_Database!$B:$M,12,FALSE))</f>
        <v>0</v>
      </c>
      <c r="S96" s="32">
        <f>IF(VLOOKUP(N96,PAB_CTB_Database!$B:$N,13,FALSE)="***",NA(),VLOOKUP(N96,PAB_CTB_Database!$B:$N,13,FALSE))</f>
        <v>0</v>
      </c>
      <c r="U96" s="26">
        <f t="shared" si="8"/>
        <v>47452</v>
      </c>
      <c r="V96" s="26" t="str">
        <f t="shared" si="9"/>
        <v>iBoxx MSCI GBP Corporates Paris Aligned Capped TCA Index92</v>
      </c>
      <c r="W96" s="32" t="e">
        <f t="shared" si="10"/>
        <v>#N/A</v>
      </c>
      <c r="X96" s="32" t="e">
        <f t="shared" si="11"/>
        <v>#N/A</v>
      </c>
      <c r="Y96" s="32" t="e">
        <f t="shared" si="12"/>
        <v>#N/A</v>
      </c>
      <c r="Z96" s="32">
        <f t="shared" si="13"/>
        <v>11125049.943970967</v>
      </c>
      <c r="AA96" s="32" t="e">
        <f t="shared" si="14"/>
        <v>#N/A</v>
      </c>
    </row>
    <row r="97" spans="1:27" x14ac:dyDescent="0.35">
      <c r="A97">
        <v>93</v>
      </c>
      <c r="C97">
        <f ca="1"/>
        <v>47483</v>
      </c>
      <c r="E97" t="str">
        <f ca="1"/>
        <v/>
      </c>
      <c r="F97" t="str">
        <f ca="1"/>
        <v/>
      </c>
      <c r="G97" t="str">
        <f ca="1"/>
        <v/>
      </c>
      <c r="M97" s="26">
        <f>'II. EU CTB &amp; PAB Report'!C120</f>
        <v>47483</v>
      </c>
      <c r="N97" s="26" t="str">
        <f>'II. EU CTB &amp; PAB Report'!$F$10&amp;REF!A97</f>
        <v>iBoxx MSCI GBP Corporates Paris Aligned Capped TCA Index93</v>
      </c>
      <c r="O97" s="32">
        <f>IF(VLOOKUP(N97,PAB_CTB_Database!$B:$I,8,FALSE)="***",NA(),VLOOKUP(N97,PAB_CTB_Database!$B:$I,8,FALSE))</f>
        <v>0</v>
      </c>
      <c r="P97" s="32">
        <f>IF(VLOOKUP(N97,PAB_CTB_Database!$B:$J,9,FALSE)="***",NA(),VLOOKUP(N97,PAB_CTB_Database!$B:$J,9,FALSE))</f>
        <v>0</v>
      </c>
      <c r="Q97" s="32">
        <f>IF(VLOOKUP(N97,PAB_CTB_Database!$B:$K,10,FALSE)="***",NA(),VLOOKUP(N97,PAB_CTB_Database!$B:$K,10,FALSE))</f>
        <v>11057973.590607718</v>
      </c>
      <c r="R97" s="32">
        <f>IF(VLOOKUP(N97,PAB_CTB_Database!$B:$M,12,FALSE)="***",NA(),VLOOKUP(N97,PAB_CTB_Database!$B:$M,12,FALSE))</f>
        <v>0</v>
      </c>
      <c r="S97" s="32">
        <f>IF(VLOOKUP(N97,PAB_CTB_Database!$B:$N,13,FALSE)="***",NA(),VLOOKUP(N97,PAB_CTB_Database!$B:$N,13,FALSE))</f>
        <v>0</v>
      </c>
      <c r="U97" s="26">
        <f t="shared" si="8"/>
        <v>47483</v>
      </c>
      <c r="V97" s="26" t="str">
        <f t="shared" si="9"/>
        <v>iBoxx MSCI GBP Corporates Paris Aligned Capped TCA Index93</v>
      </c>
      <c r="W97" s="32" t="e">
        <f t="shared" si="10"/>
        <v>#N/A</v>
      </c>
      <c r="X97" s="32" t="e">
        <f t="shared" si="11"/>
        <v>#N/A</v>
      </c>
      <c r="Y97" s="32" t="e">
        <f t="shared" si="12"/>
        <v>#N/A</v>
      </c>
      <c r="Z97" s="32">
        <f t="shared" si="13"/>
        <v>11057973.590607718</v>
      </c>
      <c r="AA97" s="32" t="e">
        <f t="shared" si="14"/>
        <v>#N/A</v>
      </c>
    </row>
    <row r="98" spans="1:27" x14ac:dyDescent="0.35">
      <c r="A98">
        <v>94</v>
      </c>
      <c r="C98">
        <f ca="1"/>
        <v>47514</v>
      </c>
      <c r="E98" t="str">
        <f ca="1"/>
        <v/>
      </c>
      <c r="F98" t="str">
        <f ca="1"/>
        <v/>
      </c>
      <c r="G98" t="str">
        <f ca="1"/>
        <v/>
      </c>
      <c r="M98" s="26">
        <f>'II. EU CTB &amp; PAB Report'!C121</f>
        <v>47514</v>
      </c>
      <c r="N98" s="26" t="str">
        <f>'II. EU CTB &amp; PAB Report'!$F$10&amp;REF!A98</f>
        <v>iBoxx MSCI GBP Corporates Paris Aligned Capped TCA Index94</v>
      </c>
      <c r="O98" s="32">
        <f>IF(VLOOKUP(N98,PAB_CTB_Database!$B:$I,8,FALSE)="***",NA(),VLOOKUP(N98,PAB_CTB_Database!$B:$I,8,FALSE))</f>
        <v>0</v>
      </c>
      <c r="P98" s="32">
        <f>IF(VLOOKUP(N98,PAB_CTB_Database!$B:$J,9,FALSE)="***",NA(),VLOOKUP(N98,PAB_CTB_Database!$B:$J,9,FALSE))</f>
        <v>0</v>
      </c>
      <c r="Q98" s="32">
        <f>IF(VLOOKUP(N98,PAB_CTB_Database!$B:$K,10,FALSE)="***",NA(),VLOOKUP(N98,PAB_CTB_Database!$B:$K,10,FALSE))</f>
        <v>10991301.661242846</v>
      </c>
      <c r="R98" s="32">
        <f>IF(VLOOKUP(N98,PAB_CTB_Database!$B:$M,12,FALSE)="***",NA(),VLOOKUP(N98,PAB_CTB_Database!$B:$M,12,FALSE))</f>
        <v>0</v>
      </c>
      <c r="S98" s="32">
        <f>IF(VLOOKUP(N98,PAB_CTB_Database!$B:$N,13,FALSE)="***",NA(),VLOOKUP(N98,PAB_CTB_Database!$B:$N,13,FALSE))</f>
        <v>0</v>
      </c>
      <c r="U98" s="26">
        <f t="shared" si="8"/>
        <v>47514</v>
      </c>
      <c r="V98" s="26" t="str">
        <f t="shared" si="9"/>
        <v>iBoxx MSCI GBP Corporates Paris Aligned Capped TCA Index94</v>
      </c>
      <c r="W98" s="32" t="e">
        <f t="shared" si="10"/>
        <v>#N/A</v>
      </c>
      <c r="X98" s="32" t="e">
        <f t="shared" si="11"/>
        <v>#N/A</v>
      </c>
      <c r="Y98" s="32" t="e">
        <f t="shared" si="12"/>
        <v>#N/A</v>
      </c>
      <c r="Z98" s="32">
        <f t="shared" si="13"/>
        <v>10991301.661242846</v>
      </c>
      <c r="AA98" s="32" t="e">
        <f t="shared" si="14"/>
        <v>#N/A</v>
      </c>
    </row>
    <row r="99" spans="1:27" x14ac:dyDescent="0.35">
      <c r="A99">
        <v>95</v>
      </c>
      <c r="C99">
        <f ca="1"/>
        <v>47542</v>
      </c>
      <c r="E99" t="str">
        <f ca="1"/>
        <v/>
      </c>
      <c r="F99" t="str">
        <f ca="1"/>
        <v/>
      </c>
      <c r="G99" t="str">
        <f ca="1"/>
        <v/>
      </c>
      <c r="M99" s="26">
        <f>'II. EU CTB &amp; PAB Report'!C122</f>
        <v>47542</v>
      </c>
      <c r="N99" s="26" t="str">
        <f>'II. EU CTB &amp; PAB Report'!$F$10&amp;REF!A99</f>
        <v>iBoxx MSCI GBP Corporates Paris Aligned Capped TCA Index95</v>
      </c>
      <c r="O99" s="32">
        <f>IF(VLOOKUP(N99,PAB_CTB_Database!$B:$I,8,FALSE)="***",NA(),VLOOKUP(N99,PAB_CTB_Database!$B:$I,8,FALSE))</f>
        <v>0</v>
      </c>
      <c r="P99" s="32">
        <f>IF(VLOOKUP(N99,PAB_CTB_Database!$B:$J,9,FALSE)="***",NA(),VLOOKUP(N99,PAB_CTB_Database!$B:$J,9,FALSE))</f>
        <v>0</v>
      </c>
      <c r="Q99" s="32">
        <f>IF(VLOOKUP(N99,PAB_CTB_Database!$B:$K,10,FALSE)="***",NA(),VLOOKUP(N99,PAB_CTB_Database!$B:$K,10,FALSE))</f>
        <v>10925031.717479482</v>
      </c>
      <c r="R99" s="32">
        <f>IF(VLOOKUP(N99,PAB_CTB_Database!$B:$M,12,FALSE)="***",NA(),VLOOKUP(N99,PAB_CTB_Database!$B:$M,12,FALSE))</f>
        <v>0</v>
      </c>
      <c r="S99" s="32">
        <f>IF(VLOOKUP(N99,PAB_CTB_Database!$B:$N,13,FALSE)="***",NA(),VLOOKUP(N99,PAB_CTB_Database!$B:$N,13,FALSE))</f>
        <v>0</v>
      </c>
      <c r="U99" s="26">
        <f t="shared" si="8"/>
        <v>47542</v>
      </c>
      <c r="V99" s="26" t="str">
        <f t="shared" si="9"/>
        <v>iBoxx MSCI GBP Corporates Paris Aligned Capped TCA Index95</v>
      </c>
      <c r="W99" s="32" t="e">
        <f t="shared" si="10"/>
        <v>#N/A</v>
      </c>
      <c r="X99" s="32" t="e">
        <f t="shared" si="11"/>
        <v>#N/A</v>
      </c>
      <c r="Y99" s="32" t="e">
        <f t="shared" si="12"/>
        <v>#N/A</v>
      </c>
      <c r="Z99" s="32">
        <f t="shared" si="13"/>
        <v>10925031.717479482</v>
      </c>
      <c r="AA99" s="32" t="e">
        <f t="shared" si="14"/>
        <v>#N/A</v>
      </c>
    </row>
    <row r="100" spans="1:27" x14ac:dyDescent="0.35">
      <c r="A100">
        <v>96</v>
      </c>
      <c r="C100">
        <f ca="1"/>
        <v>47573</v>
      </c>
      <c r="E100" t="str">
        <f ca="1"/>
        <v/>
      </c>
      <c r="F100" t="str">
        <f ca="1"/>
        <v/>
      </c>
      <c r="G100" t="str">
        <f ca="1"/>
        <v/>
      </c>
      <c r="M100" s="26">
        <f>'II. EU CTB &amp; PAB Report'!C123</f>
        <v>47573</v>
      </c>
      <c r="N100" s="26" t="str">
        <f>'II. EU CTB &amp; PAB Report'!$F$10&amp;REF!A100</f>
        <v>iBoxx MSCI GBP Corporates Paris Aligned Capped TCA Index96</v>
      </c>
      <c r="O100" s="32">
        <f>IF(VLOOKUP(N100,PAB_CTB_Database!$B:$I,8,FALSE)="***",NA(),VLOOKUP(N100,PAB_CTB_Database!$B:$I,8,FALSE))</f>
        <v>0</v>
      </c>
      <c r="P100" s="32">
        <f>IF(VLOOKUP(N100,PAB_CTB_Database!$B:$J,9,FALSE)="***",NA(),VLOOKUP(N100,PAB_CTB_Database!$B:$J,9,FALSE))</f>
        <v>0</v>
      </c>
      <c r="Q100" s="32">
        <f>IF(VLOOKUP(N100,PAB_CTB_Database!$B:$K,10,FALSE)="***",NA(),VLOOKUP(N100,PAB_CTB_Database!$B:$K,10,FALSE))</f>
        <v>10859161.335622592</v>
      </c>
      <c r="R100" s="32">
        <f>IF(VLOOKUP(N100,PAB_CTB_Database!$B:$M,12,FALSE)="***",NA(),VLOOKUP(N100,PAB_CTB_Database!$B:$M,12,FALSE))</f>
        <v>0</v>
      </c>
      <c r="S100" s="32">
        <f>IF(VLOOKUP(N100,PAB_CTB_Database!$B:$N,13,FALSE)="***",NA(),VLOOKUP(N100,PAB_CTB_Database!$B:$N,13,FALSE))</f>
        <v>0</v>
      </c>
      <c r="U100" s="26">
        <f t="shared" si="8"/>
        <v>47573</v>
      </c>
      <c r="V100" s="26" t="str">
        <f t="shared" si="9"/>
        <v>iBoxx MSCI GBP Corporates Paris Aligned Capped TCA Index96</v>
      </c>
      <c r="W100" s="32" t="e">
        <f t="shared" si="10"/>
        <v>#N/A</v>
      </c>
      <c r="X100" s="32" t="e">
        <f t="shared" si="11"/>
        <v>#N/A</v>
      </c>
      <c r="Y100" s="32" t="e">
        <f t="shared" si="12"/>
        <v>#N/A</v>
      </c>
      <c r="Z100" s="32">
        <f t="shared" si="13"/>
        <v>10859161.335622592</v>
      </c>
      <c r="AA100" s="32" t="e">
        <f t="shared" si="14"/>
        <v>#N/A</v>
      </c>
    </row>
    <row r="101" spans="1:27" x14ac:dyDescent="0.35">
      <c r="A101">
        <v>97</v>
      </c>
      <c r="C101">
        <f ca="1"/>
        <v>47603</v>
      </c>
      <c r="E101" t="str">
        <f ca="1"/>
        <v/>
      </c>
      <c r="F101" t="str">
        <f ca="1"/>
        <v/>
      </c>
      <c r="G101" t="str">
        <f ca="1"/>
        <v/>
      </c>
      <c r="M101" s="26">
        <f>'II. EU CTB &amp; PAB Report'!C124</f>
        <v>47603</v>
      </c>
      <c r="N101" s="26" t="str">
        <f>'II. EU CTB &amp; PAB Report'!$F$10&amp;REF!A101</f>
        <v>iBoxx MSCI GBP Corporates Paris Aligned Capped TCA Index97</v>
      </c>
      <c r="O101" s="32">
        <f>IF(VLOOKUP(N101,PAB_CTB_Database!$B:$I,8,FALSE)="***",NA(),VLOOKUP(N101,PAB_CTB_Database!$B:$I,8,FALSE))</f>
        <v>0</v>
      </c>
      <c r="P101" s="32">
        <f>IF(VLOOKUP(N101,PAB_CTB_Database!$B:$J,9,FALSE)="***",NA(),VLOOKUP(N101,PAB_CTB_Database!$B:$J,9,FALSE))</f>
        <v>0</v>
      </c>
      <c r="Q101" s="32">
        <f>IF(VLOOKUP(N101,PAB_CTB_Database!$B:$K,10,FALSE)="***",NA(),VLOOKUP(N101,PAB_CTB_Database!$B:$K,10,FALSE))</f>
        <v>10793688.106590346</v>
      </c>
      <c r="R101" s="32">
        <f>IF(VLOOKUP(N101,PAB_CTB_Database!$B:$M,12,FALSE)="***",NA(),VLOOKUP(N101,PAB_CTB_Database!$B:$M,12,FALSE))</f>
        <v>0</v>
      </c>
      <c r="S101" s="32">
        <f>IF(VLOOKUP(N101,PAB_CTB_Database!$B:$N,13,FALSE)="***",NA(),VLOOKUP(N101,PAB_CTB_Database!$B:$N,13,FALSE))</f>
        <v>0</v>
      </c>
      <c r="U101" s="26">
        <f t="shared" si="8"/>
        <v>47603</v>
      </c>
      <c r="V101" s="26" t="str">
        <f t="shared" si="9"/>
        <v>iBoxx MSCI GBP Corporates Paris Aligned Capped TCA Index97</v>
      </c>
      <c r="W101" s="32" t="e">
        <f t="shared" si="10"/>
        <v>#N/A</v>
      </c>
      <c r="X101" s="32" t="e">
        <f t="shared" si="11"/>
        <v>#N/A</v>
      </c>
      <c r="Y101" s="32" t="e">
        <f t="shared" si="12"/>
        <v>#N/A</v>
      </c>
      <c r="Z101" s="32">
        <f t="shared" si="13"/>
        <v>10793688.106590346</v>
      </c>
      <c r="AA101" s="32" t="e">
        <f t="shared" si="14"/>
        <v>#N/A</v>
      </c>
    </row>
    <row r="102" spans="1:27" x14ac:dyDescent="0.35">
      <c r="A102">
        <v>98</v>
      </c>
      <c r="C102">
        <f ca="1"/>
        <v>47634</v>
      </c>
      <c r="E102" t="str">
        <f ca="1"/>
        <v/>
      </c>
      <c r="F102" t="str">
        <f ca="1"/>
        <v/>
      </c>
      <c r="G102" t="str">
        <f ca="1"/>
        <v/>
      </c>
      <c r="M102" s="26">
        <f>'II. EU CTB &amp; PAB Report'!C125</f>
        <v>47634</v>
      </c>
      <c r="N102" s="26" t="str">
        <f>'II. EU CTB &amp; PAB Report'!$F$10&amp;REF!A102</f>
        <v>iBoxx MSCI GBP Corporates Paris Aligned Capped TCA Index98</v>
      </c>
      <c r="O102" s="32">
        <f>IF(VLOOKUP(N102,PAB_CTB_Database!$B:$I,8,FALSE)="***",NA(),VLOOKUP(N102,PAB_CTB_Database!$B:$I,8,FALSE))</f>
        <v>0</v>
      </c>
      <c r="P102" s="32">
        <f>IF(VLOOKUP(N102,PAB_CTB_Database!$B:$J,9,FALSE)="***",NA(),VLOOKUP(N102,PAB_CTB_Database!$B:$J,9,FALSE))</f>
        <v>0</v>
      </c>
      <c r="Q102" s="32">
        <f>IF(VLOOKUP(N102,PAB_CTB_Database!$B:$K,10,FALSE)="***",NA(),VLOOKUP(N102,PAB_CTB_Database!$B:$K,10,FALSE))</f>
        <v>10728609.635826023</v>
      </c>
      <c r="R102" s="32">
        <f>IF(VLOOKUP(N102,PAB_CTB_Database!$B:$M,12,FALSE)="***",NA(),VLOOKUP(N102,PAB_CTB_Database!$B:$M,12,FALSE))</f>
        <v>0</v>
      </c>
      <c r="S102" s="32">
        <f>IF(VLOOKUP(N102,PAB_CTB_Database!$B:$N,13,FALSE)="***",NA(),VLOOKUP(N102,PAB_CTB_Database!$B:$N,13,FALSE))</f>
        <v>0</v>
      </c>
      <c r="U102" s="26">
        <f t="shared" si="8"/>
        <v>47634</v>
      </c>
      <c r="V102" s="26" t="str">
        <f t="shared" si="9"/>
        <v>iBoxx MSCI GBP Corporates Paris Aligned Capped TCA Index98</v>
      </c>
      <c r="W102" s="32" t="e">
        <f t="shared" si="10"/>
        <v>#N/A</v>
      </c>
      <c r="X102" s="32" t="e">
        <f t="shared" si="11"/>
        <v>#N/A</v>
      </c>
      <c r="Y102" s="32" t="e">
        <f t="shared" si="12"/>
        <v>#N/A</v>
      </c>
      <c r="Z102" s="32">
        <f t="shared" si="13"/>
        <v>10728609.635826023</v>
      </c>
      <c r="AA102" s="32" t="e">
        <f t="shared" si="14"/>
        <v>#N/A</v>
      </c>
    </row>
    <row r="103" spans="1:27" x14ac:dyDescent="0.35">
      <c r="A103">
        <v>99</v>
      </c>
      <c r="C103">
        <f ca="1"/>
        <v>47664</v>
      </c>
      <c r="E103" t="str">
        <f ca="1"/>
        <v/>
      </c>
      <c r="F103" t="str">
        <f ca="1"/>
        <v/>
      </c>
      <c r="G103" t="str">
        <f ca="1"/>
        <v/>
      </c>
      <c r="M103" s="26">
        <f>'II. EU CTB &amp; PAB Report'!C126</f>
        <v>47664</v>
      </c>
      <c r="N103" s="26" t="str">
        <f>'II. EU CTB &amp; PAB Report'!$F$10&amp;REF!A103</f>
        <v>iBoxx MSCI GBP Corporates Paris Aligned Capped TCA Index99</v>
      </c>
      <c r="O103" s="32">
        <f>IF(VLOOKUP(N103,PAB_CTB_Database!$B:$I,8,FALSE)="***",NA(),VLOOKUP(N103,PAB_CTB_Database!$B:$I,8,FALSE))</f>
        <v>0</v>
      </c>
      <c r="P103" s="32">
        <f>IF(VLOOKUP(N103,PAB_CTB_Database!$B:$J,9,FALSE)="***",NA(),VLOOKUP(N103,PAB_CTB_Database!$B:$J,9,FALSE))</f>
        <v>0</v>
      </c>
      <c r="Q103" s="32">
        <f>IF(VLOOKUP(N103,PAB_CTB_Database!$B:$K,10,FALSE)="***",NA(),VLOOKUP(N103,PAB_CTB_Database!$B:$K,10,FALSE))</f>
        <v>10663923.543210411</v>
      </c>
      <c r="R103" s="32">
        <f>IF(VLOOKUP(N103,PAB_CTB_Database!$B:$M,12,FALSE)="***",NA(),VLOOKUP(N103,PAB_CTB_Database!$B:$M,12,FALSE))</f>
        <v>0</v>
      </c>
      <c r="S103" s="32">
        <f>IF(VLOOKUP(N103,PAB_CTB_Database!$B:$N,13,FALSE)="***",NA(),VLOOKUP(N103,PAB_CTB_Database!$B:$N,13,FALSE))</f>
        <v>0</v>
      </c>
      <c r="U103" s="26">
        <f t="shared" si="8"/>
        <v>47664</v>
      </c>
      <c r="V103" s="26" t="str">
        <f t="shared" si="9"/>
        <v>iBoxx MSCI GBP Corporates Paris Aligned Capped TCA Index99</v>
      </c>
      <c r="W103" s="32" t="e">
        <f t="shared" si="10"/>
        <v>#N/A</v>
      </c>
      <c r="X103" s="32" t="e">
        <f t="shared" si="11"/>
        <v>#N/A</v>
      </c>
      <c r="Y103" s="32" t="e">
        <f t="shared" si="12"/>
        <v>#N/A</v>
      </c>
      <c r="Z103" s="32">
        <f t="shared" si="13"/>
        <v>10663923.543210411</v>
      </c>
      <c r="AA103" s="32" t="e">
        <f t="shared" si="14"/>
        <v>#N/A</v>
      </c>
    </row>
    <row r="104" spans="1:27" x14ac:dyDescent="0.35">
      <c r="A104">
        <v>100</v>
      </c>
      <c r="C104">
        <f ca="1"/>
        <v>47695</v>
      </c>
      <c r="E104" t="str">
        <f ca="1"/>
        <v/>
      </c>
      <c r="F104" t="str">
        <f ca="1"/>
        <v/>
      </c>
      <c r="G104" t="str">
        <f ca="1"/>
        <v/>
      </c>
      <c r="M104" s="26">
        <f>'II. EU CTB &amp; PAB Report'!C127</f>
        <v>47695</v>
      </c>
      <c r="N104" s="26" t="str">
        <f>'II. EU CTB &amp; PAB Report'!$F$10&amp;REF!A104</f>
        <v>iBoxx MSCI GBP Corporates Paris Aligned Capped TCA Index100</v>
      </c>
      <c r="O104" s="32">
        <f>IF(VLOOKUP(N104,PAB_CTB_Database!$B:$I,8,FALSE)="***",NA(),VLOOKUP(N104,PAB_CTB_Database!$B:$I,8,FALSE))</f>
        <v>0</v>
      </c>
      <c r="P104" s="32">
        <f>IF(VLOOKUP(N104,PAB_CTB_Database!$B:$J,9,FALSE)="***",NA(),VLOOKUP(N104,PAB_CTB_Database!$B:$J,9,FALSE))</f>
        <v>0</v>
      </c>
      <c r="Q104" s="32">
        <f>IF(VLOOKUP(N104,PAB_CTB_Database!$B:$K,10,FALSE)="***",NA(),VLOOKUP(N104,PAB_CTB_Database!$B:$K,10,FALSE))</f>
        <v>10599627.462974772</v>
      </c>
      <c r="R104" s="32">
        <f>IF(VLOOKUP(N104,PAB_CTB_Database!$B:$M,12,FALSE)="***",NA(),VLOOKUP(N104,PAB_CTB_Database!$B:$M,12,FALSE))</f>
        <v>0</v>
      </c>
      <c r="S104" s="32">
        <f>IF(VLOOKUP(N104,PAB_CTB_Database!$B:$N,13,FALSE)="***",NA(),VLOOKUP(N104,PAB_CTB_Database!$B:$N,13,FALSE))</f>
        <v>0</v>
      </c>
      <c r="U104" s="26">
        <f t="shared" si="8"/>
        <v>47695</v>
      </c>
      <c r="V104" s="26" t="str">
        <f t="shared" si="9"/>
        <v>iBoxx MSCI GBP Corporates Paris Aligned Capped TCA Index100</v>
      </c>
      <c r="W104" s="32" t="e">
        <f t="shared" si="10"/>
        <v>#N/A</v>
      </c>
      <c r="X104" s="32" t="e">
        <f t="shared" si="11"/>
        <v>#N/A</v>
      </c>
      <c r="Y104" s="32" t="e">
        <f t="shared" si="12"/>
        <v>#N/A</v>
      </c>
      <c r="Z104" s="32">
        <f t="shared" si="13"/>
        <v>10599627.462974772</v>
      </c>
      <c r="AA104" s="32" t="e">
        <f t="shared" si="14"/>
        <v>#N/A</v>
      </c>
    </row>
    <row r="105" spans="1:27" x14ac:dyDescent="0.35">
      <c r="A105">
        <v>101</v>
      </c>
      <c r="C105">
        <f ca="1"/>
        <v>47726</v>
      </c>
      <c r="E105" t="str">
        <f ca="1"/>
        <v/>
      </c>
      <c r="F105" t="str">
        <f ca="1"/>
        <v/>
      </c>
      <c r="G105" t="str">
        <f ca="1"/>
        <v/>
      </c>
      <c r="M105" s="26">
        <f>'II. EU CTB &amp; PAB Report'!C128</f>
        <v>47726</v>
      </c>
      <c r="N105" s="26" t="str">
        <f>'II. EU CTB &amp; PAB Report'!$F$10&amp;REF!A105</f>
        <v>iBoxx MSCI GBP Corporates Paris Aligned Capped TCA Index101</v>
      </c>
      <c r="O105" s="32">
        <f>IF(VLOOKUP(N105,PAB_CTB_Database!$B:$I,8,FALSE)="***",NA(),VLOOKUP(N105,PAB_CTB_Database!$B:$I,8,FALSE))</f>
        <v>0</v>
      </c>
      <c r="P105" s="32">
        <f>IF(VLOOKUP(N105,PAB_CTB_Database!$B:$J,9,FALSE)="***",NA(),VLOOKUP(N105,PAB_CTB_Database!$B:$J,9,FALSE))</f>
        <v>0</v>
      </c>
      <c r="Q105" s="32">
        <f>IF(VLOOKUP(N105,PAB_CTB_Database!$B:$K,10,FALSE)="***",NA(),VLOOKUP(N105,PAB_CTB_Database!$B:$K,10,FALSE))</f>
        <v>10535719.043614319</v>
      </c>
      <c r="R105" s="32">
        <f>IF(VLOOKUP(N105,PAB_CTB_Database!$B:$M,12,FALSE)="***",NA(),VLOOKUP(N105,PAB_CTB_Database!$B:$M,12,FALSE))</f>
        <v>0</v>
      </c>
      <c r="S105" s="32">
        <f>IF(VLOOKUP(N105,PAB_CTB_Database!$B:$N,13,FALSE)="***",NA(),VLOOKUP(N105,PAB_CTB_Database!$B:$N,13,FALSE))</f>
        <v>0</v>
      </c>
      <c r="U105" s="26">
        <f t="shared" si="8"/>
        <v>47726</v>
      </c>
      <c r="V105" s="26" t="str">
        <f t="shared" si="9"/>
        <v>iBoxx MSCI GBP Corporates Paris Aligned Capped TCA Index101</v>
      </c>
      <c r="W105" s="32" t="e">
        <f t="shared" si="10"/>
        <v>#N/A</v>
      </c>
      <c r="X105" s="32" t="e">
        <f t="shared" si="11"/>
        <v>#N/A</v>
      </c>
      <c r="Y105" s="32" t="e">
        <f t="shared" si="12"/>
        <v>#N/A</v>
      </c>
      <c r="Z105" s="32">
        <f t="shared" si="13"/>
        <v>10535719.043614319</v>
      </c>
      <c r="AA105" s="32" t="e">
        <f t="shared" si="14"/>
        <v>#N/A</v>
      </c>
    </row>
    <row r="106" spans="1:27" x14ac:dyDescent="0.35">
      <c r="A106">
        <v>102</v>
      </c>
      <c r="C106">
        <f ca="1"/>
        <v>47756</v>
      </c>
      <c r="E106" t="str">
        <f ca="1"/>
        <v/>
      </c>
      <c r="F106" t="str">
        <f ca="1"/>
        <v/>
      </c>
      <c r="G106" t="str">
        <f ca="1"/>
        <v/>
      </c>
      <c r="M106" s="26">
        <f>'II. EU CTB &amp; PAB Report'!C129</f>
        <v>47756</v>
      </c>
      <c r="N106" s="26" t="str">
        <f>'II. EU CTB &amp; PAB Report'!$F$10&amp;REF!A106</f>
        <v>iBoxx MSCI GBP Corporates Paris Aligned Capped TCA Index102</v>
      </c>
      <c r="O106" s="32">
        <f>IF(VLOOKUP(N106,PAB_CTB_Database!$B:$I,8,FALSE)="***",NA(),VLOOKUP(N106,PAB_CTB_Database!$B:$I,8,FALSE))</f>
        <v>0</v>
      </c>
      <c r="P106" s="32">
        <f>IF(VLOOKUP(N106,PAB_CTB_Database!$B:$J,9,FALSE)="***",NA(),VLOOKUP(N106,PAB_CTB_Database!$B:$J,9,FALSE))</f>
        <v>0</v>
      </c>
      <c r="Q106" s="32">
        <f>IF(VLOOKUP(N106,PAB_CTB_Database!$B:$K,10,FALSE)="***",NA(),VLOOKUP(N106,PAB_CTB_Database!$B:$K,10,FALSE))</f>
        <v>10472195.947802207</v>
      </c>
      <c r="R106" s="32">
        <f>IF(VLOOKUP(N106,PAB_CTB_Database!$B:$M,12,FALSE)="***",NA(),VLOOKUP(N106,PAB_CTB_Database!$B:$M,12,FALSE))</f>
        <v>0</v>
      </c>
      <c r="S106" s="32">
        <f>IF(VLOOKUP(N106,PAB_CTB_Database!$B:$N,13,FALSE)="***",NA(),VLOOKUP(N106,PAB_CTB_Database!$B:$N,13,FALSE))</f>
        <v>0</v>
      </c>
      <c r="U106" s="26">
        <f t="shared" si="8"/>
        <v>47756</v>
      </c>
      <c r="V106" s="26" t="str">
        <f t="shared" si="9"/>
        <v>iBoxx MSCI GBP Corporates Paris Aligned Capped TCA Index102</v>
      </c>
      <c r="W106" s="32" t="e">
        <f t="shared" si="10"/>
        <v>#N/A</v>
      </c>
      <c r="X106" s="32" t="e">
        <f t="shared" si="11"/>
        <v>#N/A</v>
      </c>
      <c r="Y106" s="32" t="e">
        <f t="shared" si="12"/>
        <v>#N/A</v>
      </c>
      <c r="Z106" s="32">
        <f t="shared" si="13"/>
        <v>10472195.947802207</v>
      </c>
      <c r="AA106" s="32" t="e">
        <f t="shared" si="14"/>
        <v>#N/A</v>
      </c>
    </row>
    <row r="107" spans="1:27" x14ac:dyDescent="0.35">
      <c r="A107">
        <v>103</v>
      </c>
      <c r="C107">
        <f ca="1"/>
        <v>47787</v>
      </c>
      <c r="E107" t="str">
        <f ca="1"/>
        <v/>
      </c>
      <c r="F107" t="str">
        <f ca="1"/>
        <v/>
      </c>
      <c r="G107" t="str">
        <f ca="1"/>
        <v/>
      </c>
      <c r="M107" s="26">
        <f>'II. EU CTB &amp; PAB Report'!C130</f>
        <v>47787</v>
      </c>
      <c r="N107" s="26" t="str">
        <f>'II. EU CTB &amp; PAB Report'!$F$10&amp;REF!A107</f>
        <v>iBoxx MSCI GBP Corporates Paris Aligned Capped TCA Index103</v>
      </c>
      <c r="O107" s="32">
        <f>IF(VLOOKUP(N107,PAB_CTB_Database!$B:$I,8,FALSE)="***",NA(),VLOOKUP(N107,PAB_CTB_Database!$B:$I,8,FALSE))</f>
        <v>0</v>
      </c>
      <c r="P107" s="32">
        <f>IF(VLOOKUP(N107,PAB_CTB_Database!$B:$J,9,FALSE)="***",NA(),VLOOKUP(N107,PAB_CTB_Database!$B:$J,9,FALSE))</f>
        <v>0</v>
      </c>
      <c r="Q107" s="32">
        <f>IF(VLOOKUP(N107,PAB_CTB_Database!$B:$K,10,FALSE)="***",NA(),VLOOKUP(N107,PAB_CTB_Database!$B:$K,10,FALSE))</f>
        <v>10409055.852304062</v>
      </c>
      <c r="R107" s="32">
        <f>IF(VLOOKUP(N107,PAB_CTB_Database!$B:$M,12,FALSE)="***",NA(),VLOOKUP(N107,PAB_CTB_Database!$B:$M,12,FALSE))</f>
        <v>0</v>
      </c>
      <c r="S107" s="32">
        <f>IF(VLOOKUP(N107,PAB_CTB_Database!$B:$N,13,FALSE)="***",NA(),VLOOKUP(N107,PAB_CTB_Database!$B:$N,13,FALSE))</f>
        <v>0</v>
      </c>
      <c r="U107" s="26">
        <f t="shared" si="8"/>
        <v>47787</v>
      </c>
      <c r="V107" s="26" t="str">
        <f t="shared" si="9"/>
        <v>iBoxx MSCI GBP Corporates Paris Aligned Capped TCA Index103</v>
      </c>
      <c r="W107" s="32" t="e">
        <f t="shared" si="10"/>
        <v>#N/A</v>
      </c>
      <c r="X107" s="32" t="e">
        <f t="shared" si="11"/>
        <v>#N/A</v>
      </c>
      <c r="Y107" s="32" t="e">
        <f t="shared" si="12"/>
        <v>#N/A</v>
      </c>
      <c r="Z107" s="32">
        <f t="shared" si="13"/>
        <v>10409055.852304062</v>
      </c>
      <c r="AA107" s="32" t="e">
        <f t="shared" si="14"/>
        <v>#N/A</v>
      </c>
    </row>
    <row r="108" spans="1:27" x14ac:dyDescent="0.35">
      <c r="A108">
        <v>104</v>
      </c>
      <c r="C108">
        <f ca="1"/>
        <v>47817</v>
      </c>
      <c r="E108" t="str">
        <f ca="1"/>
        <v/>
      </c>
      <c r="F108" t="str">
        <f ca="1"/>
        <v/>
      </c>
      <c r="G108" t="str">
        <f ca="1"/>
        <v/>
      </c>
      <c r="M108" s="26">
        <f>'II. EU CTB &amp; PAB Report'!C131</f>
        <v>47817</v>
      </c>
      <c r="N108" s="26" t="str">
        <f>'II. EU CTB &amp; PAB Report'!$F$10&amp;REF!A108</f>
        <v>iBoxx MSCI GBP Corporates Paris Aligned Capped TCA Index104</v>
      </c>
      <c r="O108" s="32">
        <f>IF(VLOOKUP(N108,PAB_CTB_Database!$B:$I,8,FALSE)="***",NA(),VLOOKUP(N108,PAB_CTB_Database!$B:$I,8,FALSE))</f>
        <v>0</v>
      </c>
      <c r="P108" s="32">
        <f>IF(VLOOKUP(N108,PAB_CTB_Database!$B:$J,9,FALSE)="***",NA(),VLOOKUP(N108,PAB_CTB_Database!$B:$J,9,FALSE))</f>
        <v>0</v>
      </c>
      <c r="Q108" s="32">
        <f>IF(VLOOKUP(N108,PAB_CTB_Database!$B:$K,10,FALSE)="***",NA(),VLOOKUP(N108,PAB_CTB_Database!$B:$K,10,FALSE))</f>
        <v>10346296.447892999</v>
      </c>
      <c r="R108" s="32">
        <f>IF(VLOOKUP(N108,PAB_CTB_Database!$B:$M,12,FALSE)="***",NA(),VLOOKUP(N108,PAB_CTB_Database!$B:$M,12,FALSE))</f>
        <v>0</v>
      </c>
      <c r="S108" s="32">
        <f>IF(VLOOKUP(N108,PAB_CTB_Database!$B:$N,13,FALSE)="***",NA(),VLOOKUP(N108,PAB_CTB_Database!$B:$N,13,FALSE))</f>
        <v>0</v>
      </c>
      <c r="U108" s="26">
        <f t="shared" si="8"/>
        <v>47817</v>
      </c>
      <c r="V108" s="26" t="str">
        <f t="shared" si="9"/>
        <v>iBoxx MSCI GBP Corporates Paris Aligned Capped TCA Index104</v>
      </c>
      <c r="W108" s="32" t="e">
        <f t="shared" si="10"/>
        <v>#N/A</v>
      </c>
      <c r="X108" s="32" t="e">
        <f t="shared" si="11"/>
        <v>#N/A</v>
      </c>
      <c r="Y108" s="32" t="e">
        <f t="shared" si="12"/>
        <v>#N/A</v>
      </c>
      <c r="Z108" s="32">
        <f t="shared" si="13"/>
        <v>10346296.447892999</v>
      </c>
      <c r="AA108" s="32" t="e">
        <f t="shared" si="14"/>
        <v>#N/A</v>
      </c>
    </row>
    <row r="109" spans="1:27" x14ac:dyDescent="0.35">
      <c r="A109">
        <v>105</v>
      </c>
      <c r="C109">
        <f ca="1"/>
        <v>47848</v>
      </c>
      <c r="E109" t="str">
        <f ca="1"/>
        <v/>
      </c>
      <c r="F109" t="str">
        <f ca="1"/>
        <v/>
      </c>
      <c r="G109" t="str">
        <f ca="1"/>
        <v/>
      </c>
      <c r="M109" s="26">
        <f>'II. EU CTB &amp; PAB Report'!C132</f>
        <v>47848</v>
      </c>
      <c r="N109" s="26" t="str">
        <f>'II. EU CTB &amp; PAB Report'!$F$10&amp;REF!A109</f>
        <v>iBoxx MSCI GBP Corporates Paris Aligned Capped TCA Index105</v>
      </c>
      <c r="O109" s="32">
        <f>IF(VLOOKUP(N109,PAB_CTB_Database!$B:$I,8,FALSE)="***",NA(),VLOOKUP(N109,PAB_CTB_Database!$B:$I,8,FALSE))</f>
        <v>0</v>
      </c>
      <c r="P109" s="32">
        <f>IF(VLOOKUP(N109,PAB_CTB_Database!$B:$J,9,FALSE)="***",NA(),VLOOKUP(N109,PAB_CTB_Database!$B:$J,9,FALSE))</f>
        <v>0</v>
      </c>
      <c r="Q109" s="32">
        <f>IF(VLOOKUP(N109,PAB_CTB_Database!$B:$K,10,FALSE)="***",NA(),VLOOKUP(N109,PAB_CTB_Database!$B:$K,10,FALSE))</f>
        <v>10283915.439265177</v>
      </c>
      <c r="R109" s="32">
        <f>IF(VLOOKUP(N109,PAB_CTB_Database!$B:$M,12,FALSE)="***",NA(),VLOOKUP(N109,PAB_CTB_Database!$B:$M,12,FALSE))</f>
        <v>0</v>
      </c>
      <c r="S109" s="32">
        <f>IF(VLOOKUP(N109,PAB_CTB_Database!$B:$N,13,FALSE)="***",NA(),VLOOKUP(N109,PAB_CTB_Database!$B:$N,13,FALSE))</f>
        <v>0</v>
      </c>
      <c r="U109" s="26">
        <f t="shared" si="8"/>
        <v>47848</v>
      </c>
      <c r="V109" s="26" t="str">
        <f t="shared" si="9"/>
        <v>iBoxx MSCI GBP Corporates Paris Aligned Capped TCA Index105</v>
      </c>
      <c r="W109" s="32" t="e">
        <f t="shared" si="10"/>
        <v>#N/A</v>
      </c>
      <c r="X109" s="32" t="e">
        <f t="shared" si="11"/>
        <v>#N/A</v>
      </c>
      <c r="Y109" s="32" t="e">
        <f t="shared" si="12"/>
        <v>#N/A</v>
      </c>
      <c r="Z109" s="32">
        <f t="shared" si="13"/>
        <v>10283915.439265177</v>
      </c>
      <c r="AA109" s="32" t="e">
        <f t="shared" si="14"/>
        <v>#N/A</v>
      </c>
    </row>
    <row r="110" spans="1:27" x14ac:dyDescent="0.35">
      <c r="A110">
        <v>106</v>
      </c>
      <c r="C110">
        <f ca="1"/>
        <v>47879</v>
      </c>
      <c r="E110" t="str">
        <f ca="1"/>
        <v/>
      </c>
      <c r="F110" t="str">
        <f ca="1"/>
        <v/>
      </c>
      <c r="G110" t="str">
        <f ca="1"/>
        <v/>
      </c>
      <c r="M110" s="26">
        <f>'II. EU CTB &amp; PAB Report'!C133</f>
        <v>47879</v>
      </c>
      <c r="N110" s="26" t="str">
        <f>'II. EU CTB &amp; PAB Report'!$F$10&amp;REF!A110</f>
        <v>iBoxx MSCI GBP Corporates Paris Aligned Capped TCA Index106</v>
      </c>
      <c r="O110" s="32">
        <f>IF(VLOOKUP(N110,PAB_CTB_Database!$B:$I,8,FALSE)="***",NA(),VLOOKUP(N110,PAB_CTB_Database!$B:$I,8,FALSE))</f>
        <v>0</v>
      </c>
      <c r="P110" s="32">
        <f>IF(VLOOKUP(N110,PAB_CTB_Database!$B:$J,9,FALSE)="***",NA(),VLOOKUP(N110,PAB_CTB_Database!$B:$J,9,FALSE))</f>
        <v>0</v>
      </c>
      <c r="Q110" s="32">
        <f>IF(VLOOKUP(N110,PAB_CTB_Database!$B:$K,10,FALSE)="***",NA(),VLOOKUP(N110,PAB_CTB_Database!$B:$K,10,FALSE))</f>
        <v>10221910.544955848</v>
      </c>
      <c r="R110" s="32">
        <f>IF(VLOOKUP(N110,PAB_CTB_Database!$B:$M,12,FALSE)="***",NA(),VLOOKUP(N110,PAB_CTB_Database!$B:$M,12,FALSE))</f>
        <v>0</v>
      </c>
      <c r="S110" s="32">
        <f>IF(VLOOKUP(N110,PAB_CTB_Database!$B:$N,13,FALSE)="***",NA(),VLOOKUP(N110,PAB_CTB_Database!$B:$N,13,FALSE))</f>
        <v>0</v>
      </c>
      <c r="U110" s="26">
        <f t="shared" si="8"/>
        <v>47879</v>
      </c>
      <c r="V110" s="26" t="str">
        <f t="shared" si="9"/>
        <v>iBoxx MSCI GBP Corporates Paris Aligned Capped TCA Index106</v>
      </c>
      <c r="W110" s="32" t="e">
        <f t="shared" si="10"/>
        <v>#N/A</v>
      </c>
      <c r="X110" s="32" t="e">
        <f t="shared" si="11"/>
        <v>#N/A</v>
      </c>
      <c r="Y110" s="32" t="e">
        <f t="shared" si="12"/>
        <v>#N/A</v>
      </c>
      <c r="Z110" s="32">
        <f t="shared" si="13"/>
        <v>10221910.544955848</v>
      </c>
      <c r="AA110" s="32" t="e">
        <f t="shared" si="14"/>
        <v>#N/A</v>
      </c>
    </row>
    <row r="111" spans="1:27" x14ac:dyDescent="0.35">
      <c r="A111">
        <v>107</v>
      </c>
      <c r="C111">
        <f ca="1"/>
        <v>47907</v>
      </c>
      <c r="E111" t="str">
        <f ca="1"/>
        <v/>
      </c>
      <c r="F111" t="str">
        <f ca="1"/>
        <v/>
      </c>
      <c r="G111" t="str">
        <f ca="1"/>
        <v/>
      </c>
      <c r="M111" s="26">
        <f>'II. EU CTB &amp; PAB Report'!C134</f>
        <v>47907</v>
      </c>
      <c r="N111" s="26" t="str">
        <f>'II. EU CTB &amp; PAB Report'!$F$10&amp;REF!A111</f>
        <v>iBoxx MSCI GBP Corporates Paris Aligned Capped TCA Index107</v>
      </c>
      <c r="O111" s="32">
        <f>IF(VLOOKUP(N111,PAB_CTB_Database!$B:$I,8,FALSE)="***",NA(),VLOOKUP(N111,PAB_CTB_Database!$B:$I,8,FALSE))</f>
        <v>0</v>
      </c>
      <c r="P111" s="32">
        <f>IF(VLOOKUP(N111,PAB_CTB_Database!$B:$J,9,FALSE)="***",NA(),VLOOKUP(N111,PAB_CTB_Database!$B:$J,9,FALSE))</f>
        <v>0</v>
      </c>
      <c r="Q111" s="32">
        <f>IF(VLOOKUP(N111,PAB_CTB_Database!$B:$K,10,FALSE)="***",NA(),VLOOKUP(N111,PAB_CTB_Database!$B:$K,10,FALSE))</f>
        <v>10160279.49725592</v>
      </c>
      <c r="R111" s="32">
        <f>IF(VLOOKUP(N111,PAB_CTB_Database!$B:$M,12,FALSE)="***",NA(),VLOOKUP(N111,PAB_CTB_Database!$B:$M,12,FALSE))</f>
        <v>0</v>
      </c>
      <c r="S111" s="32">
        <f>IF(VLOOKUP(N111,PAB_CTB_Database!$B:$N,13,FALSE)="***",NA(),VLOOKUP(N111,PAB_CTB_Database!$B:$N,13,FALSE))</f>
        <v>0</v>
      </c>
      <c r="U111" s="26">
        <f t="shared" si="8"/>
        <v>47907</v>
      </c>
      <c r="V111" s="26" t="str">
        <f t="shared" si="9"/>
        <v>iBoxx MSCI GBP Corporates Paris Aligned Capped TCA Index107</v>
      </c>
      <c r="W111" s="32" t="e">
        <f t="shared" si="10"/>
        <v>#N/A</v>
      </c>
      <c r="X111" s="32" t="e">
        <f t="shared" si="11"/>
        <v>#N/A</v>
      </c>
      <c r="Y111" s="32" t="e">
        <f t="shared" si="12"/>
        <v>#N/A</v>
      </c>
      <c r="Z111" s="32">
        <f t="shared" si="13"/>
        <v>10160279.49725592</v>
      </c>
      <c r="AA111" s="32" t="e">
        <f t="shared" si="14"/>
        <v>#N/A</v>
      </c>
    </row>
    <row r="112" spans="1:27" x14ac:dyDescent="0.35">
      <c r="A112">
        <v>108</v>
      </c>
      <c r="C112">
        <f ca="1"/>
        <v>47938</v>
      </c>
      <c r="E112" t="str">
        <f ca="1"/>
        <v/>
      </c>
      <c r="F112" t="str">
        <f ca="1"/>
        <v/>
      </c>
      <c r="G112" t="str">
        <f ca="1"/>
        <v/>
      </c>
      <c r="M112" s="26">
        <f>'II. EU CTB &amp; PAB Report'!C135</f>
        <v>47938</v>
      </c>
      <c r="N112" s="26" t="str">
        <f>'II. EU CTB &amp; PAB Report'!$F$10&amp;REF!A112</f>
        <v>iBoxx MSCI GBP Corporates Paris Aligned Capped TCA Index108</v>
      </c>
      <c r="O112" s="32">
        <f>IF(VLOOKUP(N112,PAB_CTB_Database!$B:$I,8,FALSE)="***",NA(),VLOOKUP(N112,PAB_CTB_Database!$B:$I,8,FALSE))</f>
        <v>0</v>
      </c>
      <c r="P112" s="32">
        <f>IF(VLOOKUP(N112,PAB_CTB_Database!$B:$J,9,FALSE)="***",NA(),VLOOKUP(N112,PAB_CTB_Database!$B:$J,9,FALSE))</f>
        <v>0</v>
      </c>
      <c r="Q112" s="32">
        <f>IF(VLOOKUP(N112,PAB_CTB_Database!$B:$K,10,FALSE)="***",NA(),VLOOKUP(N112,PAB_CTB_Database!$B:$K,10,FALSE))</f>
        <v>10099020.04212901</v>
      </c>
      <c r="R112" s="32">
        <f>IF(VLOOKUP(N112,PAB_CTB_Database!$B:$M,12,FALSE)="***",NA(),VLOOKUP(N112,PAB_CTB_Database!$B:$M,12,FALSE))</f>
        <v>0</v>
      </c>
      <c r="S112" s="32">
        <f>IF(VLOOKUP(N112,PAB_CTB_Database!$B:$N,13,FALSE)="***",NA(),VLOOKUP(N112,PAB_CTB_Database!$B:$N,13,FALSE))</f>
        <v>0</v>
      </c>
      <c r="U112" s="26">
        <f t="shared" si="8"/>
        <v>47938</v>
      </c>
      <c r="V112" s="26" t="str">
        <f t="shared" si="9"/>
        <v>iBoxx MSCI GBP Corporates Paris Aligned Capped TCA Index108</v>
      </c>
      <c r="W112" s="32" t="e">
        <f t="shared" si="10"/>
        <v>#N/A</v>
      </c>
      <c r="X112" s="32" t="e">
        <f t="shared" si="11"/>
        <v>#N/A</v>
      </c>
      <c r="Y112" s="32" t="e">
        <f t="shared" si="12"/>
        <v>#N/A</v>
      </c>
      <c r="Z112" s="32">
        <f t="shared" si="13"/>
        <v>10099020.04212901</v>
      </c>
      <c r="AA112" s="32" t="e">
        <f t="shared" si="14"/>
        <v>#N/A</v>
      </c>
    </row>
    <row r="113" spans="1:27" x14ac:dyDescent="0.35">
      <c r="A113">
        <v>109</v>
      </c>
      <c r="C113">
        <f ca="1"/>
        <v>47968</v>
      </c>
      <c r="E113" t="str">
        <f ca="1"/>
        <v/>
      </c>
      <c r="F113" t="str">
        <f ca="1"/>
        <v/>
      </c>
      <c r="G113" t="str">
        <f ca="1"/>
        <v/>
      </c>
      <c r="M113" s="26">
        <f>'II. EU CTB &amp; PAB Report'!C136</f>
        <v>47968</v>
      </c>
      <c r="N113" s="26" t="str">
        <f>'II. EU CTB &amp; PAB Report'!$F$10&amp;REF!A113</f>
        <v>iBoxx MSCI GBP Corporates Paris Aligned Capped TCA Index109</v>
      </c>
      <c r="O113" s="32">
        <f>IF(VLOOKUP(N113,PAB_CTB_Database!$B:$I,8,FALSE)="***",NA(),VLOOKUP(N113,PAB_CTB_Database!$B:$I,8,FALSE))</f>
        <v>0</v>
      </c>
      <c r="P113" s="32">
        <f>IF(VLOOKUP(N113,PAB_CTB_Database!$B:$J,9,FALSE)="***",NA(),VLOOKUP(N113,PAB_CTB_Database!$B:$J,9,FALSE))</f>
        <v>0</v>
      </c>
      <c r="Q113" s="32">
        <f>IF(VLOOKUP(N113,PAB_CTB_Database!$B:$K,10,FALSE)="***",NA(),VLOOKUP(N113,PAB_CTB_Database!$B:$K,10,FALSE))</f>
        <v>10038129.939129023</v>
      </c>
      <c r="R113" s="32">
        <f>IF(VLOOKUP(N113,PAB_CTB_Database!$B:$M,12,FALSE)="***",NA(),VLOOKUP(N113,PAB_CTB_Database!$B:$M,12,FALSE))</f>
        <v>0</v>
      </c>
      <c r="S113" s="32">
        <f>IF(VLOOKUP(N113,PAB_CTB_Database!$B:$N,13,FALSE)="***",NA(),VLOOKUP(N113,PAB_CTB_Database!$B:$N,13,FALSE))</f>
        <v>0</v>
      </c>
      <c r="U113" s="26">
        <f t="shared" si="8"/>
        <v>47968</v>
      </c>
      <c r="V113" s="26" t="str">
        <f t="shared" si="9"/>
        <v>iBoxx MSCI GBP Corporates Paris Aligned Capped TCA Index109</v>
      </c>
      <c r="W113" s="32" t="e">
        <f t="shared" si="10"/>
        <v>#N/A</v>
      </c>
      <c r="X113" s="32" t="e">
        <f t="shared" si="11"/>
        <v>#N/A</v>
      </c>
      <c r="Y113" s="32" t="e">
        <f t="shared" si="12"/>
        <v>#N/A</v>
      </c>
      <c r="Z113" s="32">
        <f t="shared" si="13"/>
        <v>10038129.939129023</v>
      </c>
      <c r="AA113" s="32" t="e">
        <f t="shared" si="14"/>
        <v>#N/A</v>
      </c>
    </row>
    <row r="114" spans="1:27" x14ac:dyDescent="0.35">
      <c r="A114">
        <v>110</v>
      </c>
      <c r="C114">
        <f ca="1"/>
        <v>47999</v>
      </c>
      <c r="E114" t="str">
        <f ca="1"/>
        <v/>
      </c>
      <c r="F114" t="str">
        <f ca="1"/>
        <v/>
      </c>
      <c r="G114" t="str">
        <f ca="1"/>
        <v/>
      </c>
      <c r="M114" s="26">
        <f>'II. EU CTB &amp; PAB Report'!C137</f>
        <v>47999</v>
      </c>
      <c r="N114" s="26" t="str">
        <f>'II. EU CTB &amp; PAB Report'!$F$10&amp;REF!A114</f>
        <v>iBoxx MSCI GBP Corporates Paris Aligned Capped TCA Index110</v>
      </c>
      <c r="O114" s="32">
        <f>IF(VLOOKUP(N114,PAB_CTB_Database!$B:$I,8,FALSE)="***",NA(),VLOOKUP(N114,PAB_CTB_Database!$B:$I,8,FALSE))</f>
        <v>0</v>
      </c>
      <c r="P114" s="32">
        <f>IF(VLOOKUP(N114,PAB_CTB_Database!$B:$J,9,FALSE)="***",NA(),VLOOKUP(N114,PAB_CTB_Database!$B:$J,9,FALSE))</f>
        <v>0</v>
      </c>
      <c r="Q114" s="32">
        <f>IF(VLOOKUP(N114,PAB_CTB_Database!$B:$K,10,FALSE)="***",NA(),VLOOKUP(N114,PAB_CTB_Database!$B:$K,10,FALSE))</f>
        <v>9977606.9613182042</v>
      </c>
      <c r="R114" s="32">
        <f>IF(VLOOKUP(N114,PAB_CTB_Database!$B:$M,12,FALSE)="***",NA(),VLOOKUP(N114,PAB_CTB_Database!$B:$M,12,FALSE))</f>
        <v>0</v>
      </c>
      <c r="S114" s="32">
        <f>IF(VLOOKUP(N114,PAB_CTB_Database!$B:$N,13,FALSE)="***",NA(),VLOOKUP(N114,PAB_CTB_Database!$B:$N,13,FALSE))</f>
        <v>0</v>
      </c>
      <c r="U114" s="26">
        <f t="shared" si="8"/>
        <v>47999</v>
      </c>
      <c r="V114" s="26" t="str">
        <f t="shared" si="9"/>
        <v>iBoxx MSCI GBP Corporates Paris Aligned Capped TCA Index110</v>
      </c>
      <c r="W114" s="32" t="e">
        <f t="shared" si="10"/>
        <v>#N/A</v>
      </c>
      <c r="X114" s="32" t="e">
        <f t="shared" si="11"/>
        <v>#N/A</v>
      </c>
      <c r="Y114" s="32" t="e">
        <f t="shared" si="12"/>
        <v>#N/A</v>
      </c>
      <c r="Z114" s="32">
        <f t="shared" si="13"/>
        <v>9977606.9613182042</v>
      </c>
      <c r="AA114" s="32" t="e">
        <f t="shared" si="14"/>
        <v>#N/A</v>
      </c>
    </row>
    <row r="115" spans="1:27" x14ac:dyDescent="0.35">
      <c r="A115">
        <v>111</v>
      </c>
      <c r="C115">
        <f ca="1"/>
        <v>48029</v>
      </c>
      <c r="E115" t="str">
        <f ca="1"/>
        <v/>
      </c>
      <c r="F115" t="str">
        <f ca="1"/>
        <v/>
      </c>
      <c r="G115" t="str">
        <f ca="1"/>
        <v/>
      </c>
      <c r="M115" s="26">
        <f>'II. EU CTB &amp; PAB Report'!C138</f>
        <v>48029</v>
      </c>
      <c r="N115" s="26" t="str">
        <f>'II. EU CTB &amp; PAB Report'!$F$10&amp;REF!A115</f>
        <v>iBoxx MSCI GBP Corporates Paris Aligned Capped TCA Index111</v>
      </c>
      <c r="O115" s="32">
        <f>IF(VLOOKUP(N115,PAB_CTB_Database!$B:$I,8,FALSE)="***",NA(),VLOOKUP(N115,PAB_CTB_Database!$B:$I,8,FALSE))</f>
        <v>0</v>
      </c>
      <c r="P115" s="32">
        <f>IF(VLOOKUP(N115,PAB_CTB_Database!$B:$J,9,FALSE)="***",NA(),VLOOKUP(N115,PAB_CTB_Database!$B:$J,9,FALSE))</f>
        <v>0</v>
      </c>
      <c r="Q115" s="32">
        <f>IF(VLOOKUP(N115,PAB_CTB_Database!$B:$K,10,FALSE)="***",NA(),VLOOKUP(N115,PAB_CTB_Database!$B:$K,10,FALSE))</f>
        <v>9917448.8951856848</v>
      </c>
      <c r="R115" s="32">
        <f>IF(VLOOKUP(N115,PAB_CTB_Database!$B:$M,12,FALSE)="***",NA(),VLOOKUP(N115,PAB_CTB_Database!$B:$M,12,FALSE))</f>
        <v>0</v>
      </c>
      <c r="S115" s="32">
        <f>IF(VLOOKUP(N115,PAB_CTB_Database!$B:$N,13,FALSE)="***",NA(),VLOOKUP(N115,PAB_CTB_Database!$B:$N,13,FALSE))</f>
        <v>0</v>
      </c>
      <c r="U115" s="26">
        <f t="shared" si="8"/>
        <v>48029</v>
      </c>
      <c r="V115" s="26" t="str">
        <f t="shared" si="9"/>
        <v>iBoxx MSCI GBP Corporates Paris Aligned Capped TCA Index111</v>
      </c>
      <c r="W115" s="32" t="e">
        <f t="shared" si="10"/>
        <v>#N/A</v>
      </c>
      <c r="X115" s="32" t="e">
        <f t="shared" si="11"/>
        <v>#N/A</v>
      </c>
      <c r="Y115" s="32" t="e">
        <f t="shared" si="12"/>
        <v>#N/A</v>
      </c>
      <c r="Z115" s="32">
        <f t="shared" si="13"/>
        <v>9917448.8951856848</v>
      </c>
      <c r="AA115" s="32" t="e">
        <f t="shared" si="14"/>
        <v>#N/A</v>
      </c>
    </row>
    <row r="116" spans="1:27" x14ac:dyDescent="0.35">
      <c r="A116">
        <v>112</v>
      </c>
      <c r="C116">
        <f ca="1"/>
        <v>48060</v>
      </c>
      <c r="E116" t="str">
        <f ca="1"/>
        <v/>
      </c>
      <c r="F116" t="str">
        <f ca="1"/>
        <v/>
      </c>
      <c r="G116" t="str">
        <f ca="1"/>
        <v/>
      </c>
      <c r="M116" s="26">
        <f>'II. EU CTB &amp; PAB Report'!C139</f>
        <v>48060</v>
      </c>
      <c r="N116" s="26" t="str">
        <f>'II. EU CTB &amp; PAB Report'!$F$10&amp;REF!A116</f>
        <v>iBoxx MSCI GBP Corporates Paris Aligned Capped TCA Index112</v>
      </c>
      <c r="O116" s="32">
        <f>IF(VLOOKUP(N116,PAB_CTB_Database!$B:$I,8,FALSE)="***",NA(),VLOOKUP(N116,PAB_CTB_Database!$B:$I,8,FALSE))</f>
        <v>0</v>
      </c>
      <c r="P116" s="32">
        <f>IF(VLOOKUP(N116,PAB_CTB_Database!$B:$J,9,FALSE)="***",NA(),VLOOKUP(N116,PAB_CTB_Database!$B:$J,9,FALSE))</f>
        <v>0</v>
      </c>
      <c r="Q116" s="32">
        <f>IF(VLOOKUP(N116,PAB_CTB_Database!$B:$K,10,FALSE)="***",NA(),VLOOKUP(N116,PAB_CTB_Database!$B:$K,10,FALSE))</f>
        <v>9857653.5405665375</v>
      </c>
      <c r="R116" s="32">
        <f>IF(VLOOKUP(N116,PAB_CTB_Database!$B:$M,12,FALSE)="***",NA(),VLOOKUP(N116,PAB_CTB_Database!$B:$M,12,FALSE))</f>
        <v>0</v>
      </c>
      <c r="S116" s="32">
        <f>IF(VLOOKUP(N116,PAB_CTB_Database!$B:$N,13,FALSE)="***",NA(),VLOOKUP(N116,PAB_CTB_Database!$B:$N,13,FALSE))</f>
        <v>0</v>
      </c>
      <c r="U116" s="26">
        <f t="shared" ref="U116:U123" si="15">M116</f>
        <v>48060</v>
      </c>
      <c r="V116" s="26" t="str">
        <f t="shared" ref="V116:V123" si="16">N116</f>
        <v>iBoxx MSCI GBP Corporates Paris Aligned Capped TCA Index112</v>
      </c>
      <c r="W116" s="32" t="e">
        <f t="shared" ref="W116:W123" si="17">IF(O116=0,NA(),O116)</f>
        <v>#N/A</v>
      </c>
      <c r="X116" s="32" t="e">
        <f t="shared" ref="X116:X123" si="18">IF(S116=0,NA(),S116)</f>
        <v>#N/A</v>
      </c>
      <c r="Y116" s="32" t="e">
        <f t="shared" ref="Y116:Y123" si="19">IF(P116=0,NA(),P116)</f>
        <v>#N/A</v>
      </c>
      <c r="Z116" s="32">
        <f t="shared" ref="Z116:Z123" si="20">IF(Q116=0,NA(),Q116)</f>
        <v>9857653.5405665375</v>
      </c>
      <c r="AA116" s="32" t="e">
        <f t="shared" ref="AA116:AA123" si="21">IF(R116=0,NA(),R116)</f>
        <v>#N/A</v>
      </c>
    </row>
    <row r="117" spans="1:27" x14ac:dyDescent="0.35">
      <c r="A117">
        <v>113</v>
      </c>
      <c r="C117">
        <f ca="1"/>
        <v>48091</v>
      </c>
      <c r="E117" t="str">
        <f ca="1"/>
        <v/>
      </c>
      <c r="F117" t="str">
        <f ca="1"/>
        <v/>
      </c>
      <c r="G117" t="str">
        <f ca="1"/>
        <v/>
      </c>
      <c r="M117" s="26">
        <f>'II. EU CTB &amp; PAB Report'!C140</f>
        <v>48091</v>
      </c>
      <c r="N117" s="26" t="str">
        <f>'II. EU CTB &amp; PAB Report'!$F$10&amp;REF!A117</f>
        <v>iBoxx MSCI GBP Corporates Paris Aligned Capped TCA Index113</v>
      </c>
      <c r="O117" s="32">
        <f>IF(VLOOKUP(N117,PAB_CTB_Database!$B:$I,8,FALSE)="***",NA(),VLOOKUP(N117,PAB_CTB_Database!$B:$I,8,FALSE))</f>
        <v>0</v>
      </c>
      <c r="P117" s="32">
        <f>IF(VLOOKUP(N117,PAB_CTB_Database!$B:$J,9,FALSE)="***",NA(),VLOOKUP(N117,PAB_CTB_Database!$B:$J,9,FALSE))</f>
        <v>0</v>
      </c>
      <c r="Q117" s="32">
        <f>IF(VLOOKUP(N117,PAB_CTB_Database!$B:$K,10,FALSE)="***",NA(),VLOOKUP(N117,PAB_CTB_Database!$B:$K,10,FALSE))</f>
        <v>9798218.7105613146</v>
      </c>
      <c r="R117" s="32">
        <f>IF(VLOOKUP(N117,PAB_CTB_Database!$B:$M,12,FALSE)="***",NA(),VLOOKUP(N117,PAB_CTB_Database!$B:$M,12,FALSE))</f>
        <v>0</v>
      </c>
      <c r="S117" s="32">
        <f>IF(VLOOKUP(N117,PAB_CTB_Database!$B:$N,13,FALSE)="***",NA(),VLOOKUP(N117,PAB_CTB_Database!$B:$N,13,FALSE))</f>
        <v>0</v>
      </c>
      <c r="U117" s="26">
        <f t="shared" si="15"/>
        <v>48091</v>
      </c>
      <c r="V117" s="26" t="str">
        <f t="shared" si="16"/>
        <v>iBoxx MSCI GBP Corporates Paris Aligned Capped TCA Index113</v>
      </c>
      <c r="W117" s="32" t="e">
        <f t="shared" si="17"/>
        <v>#N/A</v>
      </c>
      <c r="X117" s="32" t="e">
        <f t="shared" si="18"/>
        <v>#N/A</v>
      </c>
      <c r="Y117" s="32" t="e">
        <f t="shared" si="19"/>
        <v>#N/A</v>
      </c>
      <c r="Z117" s="32">
        <f t="shared" si="20"/>
        <v>9798218.7105613146</v>
      </c>
      <c r="AA117" s="32" t="e">
        <f t="shared" si="21"/>
        <v>#N/A</v>
      </c>
    </row>
    <row r="118" spans="1:27" x14ac:dyDescent="0.35">
      <c r="A118">
        <v>114</v>
      </c>
      <c r="C118">
        <f ca="1"/>
        <v>48121</v>
      </c>
      <c r="E118" t="str">
        <f ca="1"/>
        <v/>
      </c>
      <c r="F118" t="str">
        <f ca="1"/>
        <v/>
      </c>
      <c r="G118" t="str">
        <f ca="1"/>
        <v/>
      </c>
      <c r="M118" s="26">
        <f>'II. EU CTB &amp; PAB Report'!C141</f>
        <v>48121</v>
      </c>
      <c r="N118" s="26" t="str">
        <f>'II. EU CTB &amp; PAB Report'!$F$10&amp;REF!A118</f>
        <v>iBoxx MSCI GBP Corporates Paris Aligned Capped TCA Index114</v>
      </c>
      <c r="O118" s="32">
        <f>IF(VLOOKUP(N118,PAB_CTB_Database!$B:$I,8,FALSE)="***",NA(),VLOOKUP(N118,PAB_CTB_Database!$B:$I,8,FALSE))</f>
        <v>0</v>
      </c>
      <c r="P118" s="32">
        <f>IF(VLOOKUP(N118,PAB_CTB_Database!$B:$J,9,FALSE)="***",NA(),VLOOKUP(N118,PAB_CTB_Database!$B:$J,9,FALSE))</f>
        <v>0</v>
      </c>
      <c r="Q118" s="32">
        <f>IF(VLOOKUP(N118,PAB_CTB_Database!$B:$K,10,FALSE)="***",NA(),VLOOKUP(N118,PAB_CTB_Database!$B:$K,10,FALSE))</f>
        <v>9739142.2314560525</v>
      </c>
      <c r="R118" s="32">
        <f>IF(VLOOKUP(N118,PAB_CTB_Database!$B:$M,12,FALSE)="***",NA(),VLOOKUP(N118,PAB_CTB_Database!$B:$M,12,FALSE))</f>
        <v>0</v>
      </c>
      <c r="S118" s="32">
        <f>IF(VLOOKUP(N118,PAB_CTB_Database!$B:$N,13,FALSE)="***",NA(),VLOOKUP(N118,PAB_CTB_Database!$B:$N,13,FALSE))</f>
        <v>0</v>
      </c>
      <c r="U118" s="26">
        <f t="shared" si="15"/>
        <v>48121</v>
      </c>
      <c r="V118" s="26" t="str">
        <f t="shared" si="16"/>
        <v>iBoxx MSCI GBP Corporates Paris Aligned Capped TCA Index114</v>
      </c>
      <c r="W118" s="32" t="e">
        <f t="shared" si="17"/>
        <v>#N/A</v>
      </c>
      <c r="X118" s="32" t="e">
        <f t="shared" si="18"/>
        <v>#N/A</v>
      </c>
      <c r="Y118" s="32" t="e">
        <f t="shared" si="19"/>
        <v>#N/A</v>
      </c>
      <c r="Z118" s="32">
        <f t="shared" si="20"/>
        <v>9739142.2314560525</v>
      </c>
      <c r="AA118" s="32" t="e">
        <f t="shared" si="21"/>
        <v>#N/A</v>
      </c>
    </row>
    <row r="119" spans="1:27" x14ac:dyDescent="0.35">
      <c r="A119">
        <v>115</v>
      </c>
      <c r="C119">
        <f ca="1"/>
        <v>48152</v>
      </c>
      <c r="E119" t="str">
        <f ca="1"/>
        <v/>
      </c>
      <c r="F119" t="str">
        <f ca="1"/>
        <v/>
      </c>
      <c r="G119" t="str">
        <f ca="1"/>
        <v/>
      </c>
      <c r="M119" s="26">
        <f>'II. EU CTB &amp; PAB Report'!C142</f>
        <v>48152</v>
      </c>
      <c r="N119" s="26" t="str">
        <f>'II. EU CTB &amp; PAB Report'!$F$10&amp;REF!A119</f>
        <v>iBoxx MSCI GBP Corporates Paris Aligned Capped TCA Index115</v>
      </c>
      <c r="O119" s="32">
        <f>IF(VLOOKUP(N119,PAB_CTB_Database!$B:$I,8,FALSE)="***",NA(),VLOOKUP(N119,PAB_CTB_Database!$B:$I,8,FALSE))</f>
        <v>0</v>
      </c>
      <c r="P119" s="32">
        <f>IF(VLOOKUP(N119,PAB_CTB_Database!$B:$J,9,FALSE)="***",NA(),VLOOKUP(N119,PAB_CTB_Database!$B:$J,9,FALSE))</f>
        <v>0</v>
      </c>
      <c r="Q119" s="32">
        <f>IF(VLOOKUP(N119,PAB_CTB_Database!$B:$K,10,FALSE)="***",NA(),VLOOKUP(N119,PAB_CTB_Database!$B:$K,10,FALSE))</f>
        <v>9680421.9426427763</v>
      </c>
      <c r="R119" s="32">
        <f>IF(VLOOKUP(N119,PAB_CTB_Database!$B:$M,12,FALSE)="***",NA(),VLOOKUP(N119,PAB_CTB_Database!$B:$M,12,FALSE))</f>
        <v>0</v>
      </c>
      <c r="S119" s="32">
        <f>IF(VLOOKUP(N119,PAB_CTB_Database!$B:$N,13,FALSE)="***",NA(),VLOOKUP(N119,PAB_CTB_Database!$B:$N,13,FALSE))</f>
        <v>0</v>
      </c>
      <c r="U119" s="26">
        <f t="shared" si="15"/>
        <v>48152</v>
      </c>
      <c r="V119" s="26" t="str">
        <f t="shared" si="16"/>
        <v>iBoxx MSCI GBP Corporates Paris Aligned Capped TCA Index115</v>
      </c>
      <c r="W119" s="32" t="e">
        <f t="shared" si="17"/>
        <v>#N/A</v>
      </c>
      <c r="X119" s="32" t="e">
        <f t="shared" si="18"/>
        <v>#N/A</v>
      </c>
      <c r="Y119" s="32" t="e">
        <f t="shared" si="19"/>
        <v>#N/A</v>
      </c>
      <c r="Z119" s="32">
        <f t="shared" si="20"/>
        <v>9680421.9426427763</v>
      </c>
      <c r="AA119" s="32" t="e">
        <f t="shared" si="21"/>
        <v>#N/A</v>
      </c>
    </row>
    <row r="120" spans="1:27" x14ac:dyDescent="0.35">
      <c r="A120">
        <v>116</v>
      </c>
      <c r="C120">
        <f ca="1"/>
        <v>48182</v>
      </c>
      <c r="E120" t="str">
        <f ca="1"/>
        <v/>
      </c>
      <c r="F120" t="str">
        <f ca="1"/>
        <v/>
      </c>
      <c r="G120" t="str">
        <f ca="1"/>
        <v/>
      </c>
      <c r="M120" s="26">
        <f>'II. EU CTB &amp; PAB Report'!C143</f>
        <v>48182</v>
      </c>
      <c r="N120" s="26" t="str">
        <f>'II. EU CTB &amp; PAB Report'!$F$10&amp;REF!A120</f>
        <v>iBoxx MSCI GBP Corporates Paris Aligned Capped TCA Index116</v>
      </c>
      <c r="O120" s="32">
        <f>IF(VLOOKUP(N120,PAB_CTB_Database!$B:$I,8,FALSE)="***",NA(),VLOOKUP(N120,PAB_CTB_Database!$B:$I,8,FALSE))</f>
        <v>0</v>
      </c>
      <c r="P120" s="32">
        <f>IF(VLOOKUP(N120,PAB_CTB_Database!$B:$J,9,FALSE)="***",NA(),VLOOKUP(N120,PAB_CTB_Database!$B:$J,9,FALSE))</f>
        <v>0</v>
      </c>
      <c r="Q120" s="32">
        <f>IF(VLOOKUP(N120,PAB_CTB_Database!$B:$K,10,FALSE)="***",NA(),VLOOKUP(N120,PAB_CTB_Database!$B:$K,10,FALSE))</f>
        <v>9622055.6965404879</v>
      </c>
      <c r="R120" s="32">
        <f>IF(VLOOKUP(N120,PAB_CTB_Database!$B:$M,12,FALSE)="***",NA(),VLOOKUP(N120,PAB_CTB_Database!$B:$M,12,FALSE))</f>
        <v>0</v>
      </c>
      <c r="S120" s="32">
        <f>IF(VLOOKUP(N120,PAB_CTB_Database!$B:$N,13,FALSE)="***",NA(),VLOOKUP(N120,PAB_CTB_Database!$B:$N,13,FALSE))</f>
        <v>0</v>
      </c>
      <c r="U120" s="26">
        <f t="shared" si="15"/>
        <v>48182</v>
      </c>
      <c r="V120" s="26" t="str">
        <f t="shared" si="16"/>
        <v>iBoxx MSCI GBP Corporates Paris Aligned Capped TCA Index116</v>
      </c>
      <c r="W120" s="32" t="e">
        <f t="shared" si="17"/>
        <v>#N/A</v>
      </c>
      <c r="X120" s="32" t="e">
        <f t="shared" si="18"/>
        <v>#N/A</v>
      </c>
      <c r="Y120" s="32" t="e">
        <f t="shared" si="19"/>
        <v>#N/A</v>
      </c>
      <c r="Z120" s="32">
        <f t="shared" si="20"/>
        <v>9622055.6965404879</v>
      </c>
      <c r="AA120" s="32" t="e">
        <f t="shared" si="21"/>
        <v>#N/A</v>
      </c>
    </row>
    <row r="121" spans="1:27" x14ac:dyDescent="0.35">
      <c r="A121">
        <v>117</v>
      </c>
      <c r="C121">
        <f ca="1"/>
        <v>48213</v>
      </c>
      <c r="E121" t="str">
        <f ca="1"/>
        <v/>
      </c>
      <c r="F121" t="str">
        <f ca="1"/>
        <v/>
      </c>
      <c r="G121" t="str">
        <f ca="1"/>
        <v/>
      </c>
      <c r="M121" s="26">
        <f>'II. EU CTB &amp; PAB Report'!C144</f>
        <v>48213</v>
      </c>
      <c r="N121" s="26" t="str">
        <f>'II. EU CTB &amp; PAB Report'!$F$10&amp;REF!A121</f>
        <v>iBoxx MSCI GBP Corporates Paris Aligned Capped TCA Index117</v>
      </c>
      <c r="O121" s="32">
        <f>IF(VLOOKUP(N121,PAB_CTB_Database!$B:$I,8,FALSE)="***",NA(),VLOOKUP(N121,PAB_CTB_Database!$B:$I,8,FALSE))</f>
        <v>0</v>
      </c>
      <c r="P121" s="32">
        <f>IF(VLOOKUP(N121,PAB_CTB_Database!$B:$J,9,FALSE)="***",NA(),VLOOKUP(N121,PAB_CTB_Database!$B:$J,9,FALSE))</f>
        <v>0</v>
      </c>
      <c r="Q121" s="32">
        <f>IF(VLOOKUP(N121,PAB_CTB_Database!$B:$K,10,FALSE)="***",NA(),VLOOKUP(N121,PAB_CTB_Database!$B:$K,10,FALSE))</f>
        <v>9564041.3585166149</v>
      </c>
      <c r="R121" s="32">
        <f>IF(VLOOKUP(N121,PAB_CTB_Database!$B:$M,12,FALSE)="***",NA(),VLOOKUP(N121,PAB_CTB_Database!$B:$M,12,FALSE))</f>
        <v>0</v>
      </c>
      <c r="S121" s="32">
        <f>IF(VLOOKUP(N121,PAB_CTB_Database!$B:$N,13,FALSE)="***",NA(),VLOOKUP(N121,PAB_CTB_Database!$B:$N,13,FALSE))</f>
        <v>0</v>
      </c>
      <c r="U121" s="26">
        <f t="shared" si="15"/>
        <v>48213</v>
      </c>
      <c r="V121" s="26" t="str">
        <f t="shared" si="16"/>
        <v>iBoxx MSCI GBP Corporates Paris Aligned Capped TCA Index117</v>
      </c>
      <c r="W121" s="32" t="e">
        <f t="shared" si="17"/>
        <v>#N/A</v>
      </c>
      <c r="X121" s="32" t="e">
        <f t="shared" si="18"/>
        <v>#N/A</v>
      </c>
      <c r="Y121" s="32" t="e">
        <f t="shared" si="19"/>
        <v>#N/A</v>
      </c>
      <c r="Z121" s="32">
        <f t="shared" si="20"/>
        <v>9564041.3585166149</v>
      </c>
      <c r="AA121" s="32" t="e">
        <f t="shared" si="21"/>
        <v>#N/A</v>
      </c>
    </row>
    <row r="122" spans="1:27" x14ac:dyDescent="0.35">
      <c r="A122">
        <v>118</v>
      </c>
      <c r="C122">
        <f ca="1"/>
        <v>48244</v>
      </c>
      <c r="E122" t="str">
        <f ca="1"/>
        <v/>
      </c>
      <c r="F122" t="str">
        <f ca="1"/>
        <v/>
      </c>
      <c r="G122" t="str">
        <f ca="1"/>
        <v/>
      </c>
      <c r="M122" s="26">
        <f>'II. EU CTB &amp; PAB Report'!C145</f>
        <v>48244</v>
      </c>
      <c r="N122" s="26" t="str">
        <f>'II. EU CTB &amp; PAB Report'!$F$10&amp;REF!A122</f>
        <v>iBoxx MSCI GBP Corporates Paris Aligned Capped TCA Index118</v>
      </c>
      <c r="O122" s="32">
        <f>IF(VLOOKUP(N122,PAB_CTB_Database!$B:$I,8,FALSE)="***",NA(),VLOOKUP(N122,PAB_CTB_Database!$B:$I,8,FALSE))</f>
        <v>0</v>
      </c>
      <c r="P122" s="32">
        <f>IF(VLOOKUP(N122,PAB_CTB_Database!$B:$J,9,FALSE)="***",NA(),VLOOKUP(N122,PAB_CTB_Database!$B:$J,9,FALSE))</f>
        <v>0</v>
      </c>
      <c r="Q122" s="32">
        <f>IF(VLOOKUP(N122,PAB_CTB_Database!$B:$K,10,FALSE)="***",NA(),VLOOKUP(N122,PAB_CTB_Database!$B:$K,10,FALSE))</f>
        <v>9506376.8068089392</v>
      </c>
      <c r="R122" s="32">
        <f>IF(VLOOKUP(N122,PAB_CTB_Database!$B:$M,12,FALSE)="***",NA(),VLOOKUP(N122,PAB_CTB_Database!$B:$M,12,FALSE))</f>
        <v>0</v>
      </c>
      <c r="S122" s="32">
        <f>IF(VLOOKUP(N122,PAB_CTB_Database!$B:$N,13,FALSE)="***",NA(),VLOOKUP(N122,PAB_CTB_Database!$B:$N,13,FALSE))</f>
        <v>0</v>
      </c>
      <c r="U122" s="26">
        <f t="shared" si="15"/>
        <v>48244</v>
      </c>
      <c r="V122" s="26" t="str">
        <f t="shared" si="16"/>
        <v>iBoxx MSCI GBP Corporates Paris Aligned Capped TCA Index118</v>
      </c>
      <c r="W122" s="32" t="e">
        <f t="shared" si="17"/>
        <v>#N/A</v>
      </c>
      <c r="X122" s="32" t="e">
        <f t="shared" si="18"/>
        <v>#N/A</v>
      </c>
      <c r="Y122" s="32" t="e">
        <f t="shared" si="19"/>
        <v>#N/A</v>
      </c>
      <c r="Z122" s="32">
        <f t="shared" si="20"/>
        <v>9506376.8068089392</v>
      </c>
      <c r="AA122" s="32" t="e">
        <f t="shared" si="21"/>
        <v>#N/A</v>
      </c>
    </row>
    <row r="123" spans="1:27" x14ac:dyDescent="0.35">
      <c r="A123">
        <v>119</v>
      </c>
      <c r="C123">
        <f ca="1"/>
        <v>48272</v>
      </c>
      <c r="E123" t="str">
        <f ca="1"/>
        <v/>
      </c>
      <c r="F123" t="str">
        <f ca="1"/>
        <v/>
      </c>
      <c r="G123" t="str">
        <f ca="1"/>
        <v/>
      </c>
      <c r="M123" s="26">
        <f>'II. EU CTB &amp; PAB Report'!C146</f>
        <v>48272</v>
      </c>
      <c r="N123" s="26" t="str">
        <f>'II. EU CTB &amp; PAB Report'!$F$10&amp;REF!A123</f>
        <v>iBoxx MSCI GBP Corporates Paris Aligned Capped TCA Index119</v>
      </c>
      <c r="O123" s="32">
        <f>IF(VLOOKUP(N123,PAB_CTB_Database!$B:$I,8,FALSE)="***",NA(),VLOOKUP(N123,PAB_CTB_Database!$B:$I,8,FALSE))</f>
        <v>0</v>
      </c>
      <c r="P123" s="32">
        <f>IF(VLOOKUP(N123,PAB_CTB_Database!$B:$J,9,FALSE)="***",NA(),VLOOKUP(N123,PAB_CTB_Database!$B:$J,9,FALSE))</f>
        <v>0</v>
      </c>
      <c r="Q123" s="32">
        <f>IF(VLOOKUP(N123,PAB_CTB_Database!$B:$K,10,FALSE)="***",NA(),VLOOKUP(N123,PAB_CTB_Database!$B:$K,10,FALSE))</f>
        <v>9449059.9324480053</v>
      </c>
      <c r="R123" s="32">
        <f>IF(VLOOKUP(N123,PAB_CTB_Database!$B:$M,12,FALSE)="***",NA(),VLOOKUP(N123,PAB_CTB_Database!$B:$M,12,FALSE))</f>
        <v>0</v>
      </c>
      <c r="S123" s="32">
        <f>IF(VLOOKUP(N123,PAB_CTB_Database!$B:$N,13,FALSE)="***",NA(),VLOOKUP(N123,PAB_CTB_Database!$B:$N,13,FALSE))</f>
        <v>0</v>
      </c>
      <c r="U123" s="26">
        <f t="shared" si="15"/>
        <v>48272</v>
      </c>
      <c r="V123" s="26" t="str">
        <f t="shared" si="16"/>
        <v>iBoxx MSCI GBP Corporates Paris Aligned Capped TCA Index119</v>
      </c>
      <c r="W123" s="32" t="e">
        <f t="shared" si="17"/>
        <v>#N/A</v>
      </c>
      <c r="X123" s="32" t="e">
        <f t="shared" si="18"/>
        <v>#N/A</v>
      </c>
      <c r="Y123" s="32" t="e">
        <f t="shared" si="19"/>
        <v>#N/A</v>
      </c>
      <c r="Z123" s="32">
        <f t="shared" si="20"/>
        <v>9449059.9324480053</v>
      </c>
      <c r="AA123" s="32" t="e">
        <f t="shared" si="21"/>
        <v>#N/A</v>
      </c>
    </row>
  </sheetData>
  <sortState xmlns:xlrd2="http://schemas.microsoft.com/office/spreadsheetml/2017/richdata2" ref="AO4:AO73">
    <sortCondition ref="AO73"/>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91AB-259A-445B-A9A0-A127B778AC34}">
  <sheetPr>
    <tabColor rgb="FFFFFF00"/>
  </sheetPr>
  <dimension ref="A3:A9"/>
  <sheetViews>
    <sheetView workbookViewId="0">
      <selection activeCell="M34" sqref="M34"/>
    </sheetView>
  </sheetViews>
  <sheetFormatPr defaultRowHeight="14.5" x14ac:dyDescent="0.35"/>
  <sheetData>
    <row r="3" spans="1:1" x14ac:dyDescent="0.35">
      <c r="A3" s="25" t="s">
        <v>533</v>
      </c>
    </row>
    <row r="4" spans="1:1" x14ac:dyDescent="0.35">
      <c r="A4" s="25" t="s">
        <v>119</v>
      </c>
    </row>
    <row r="5" spans="1:1" x14ac:dyDescent="0.35">
      <c r="A5" s="134" t="s">
        <v>548</v>
      </c>
    </row>
    <row r="6" spans="1:1" x14ac:dyDescent="0.35">
      <c r="A6" s="25" t="s">
        <v>540</v>
      </c>
    </row>
    <row r="7" spans="1:1" x14ac:dyDescent="0.35">
      <c r="A7" s="134" t="s">
        <v>551</v>
      </c>
    </row>
    <row r="8" spans="1:1" x14ac:dyDescent="0.35">
      <c r="A8" s="25" t="s">
        <v>544</v>
      </c>
    </row>
    <row r="9" spans="1:1" x14ac:dyDescent="0.35">
      <c r="A9" s="134" t="s">
        <v>552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0640473-7254-4dee-a68e-1aa7dfe870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41F65D8D85C643B279395178BBB636" ma:contentTypeVersion="18" ma:contentTypeDescription="Create a new document." ma:contentTypeScope="" ma:versionID="c54cf61ecc65f1c959b09c681af5a601">
  <xsd:schema xmlns:xsd="http://www.w3.org/2001/XMLSchema" xmlns:xs="http://www.w3.org/2001/XMLSchema" xmlns:p="http://schemas.microsoft.com/office/2006/metadata/properties" xmlns:ns3="d0640473-7254-4dee-a68e-1aa7dfe87080" xmlns:ns4="219b1f8c-5713-414c-b63e-bc7010bca48d" targetNamespace="http://schemas.microsoft.com/office/2006/metadata/properties" ma:root="true" ma:fieldsID="5f3b6337bbc911624d3d114183ba7252" ns3:_="" ns4:_="">
    <xsd:import namespace="d0640473-7254-4dee-a68e-1aa7dfe87080"/>
    <xsd:import namespace="219b1f8c-5713-414c-b63e-bc7010bca48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40473-7254-4dee-a68e-1aa7dfe87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9b1f8c-5713-414c-b63e-bc7010bca4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BCA7F-5947-4D7E-8FDD-02E83B7332A4}">
  <ds:schemaRefs>
    <ds:schemaRef ds:uri="http://schemas.microsoft.com/office/2006/metadata/properties"/>
    <ds:schemaRef ds:uri="http://schemas.microsoft.com/office/infopath/2007/PartnerControls"/>
    <ds:schemaRef ds:uri="d0640473-7254-4dee-a68e-1aa7dfe87080"/>
  </ds:schemaRefs>
</ds:datastoreItem>
</file>

<file path=customXml/itemProps2.xml><?xml version="1.0" encoding="utf-8"?>
<ds:datastoreItem xmlns:ds="http://schemas.openxmlformats.org/officeDocument/2006/customXml" ds:itemID="{5E74D0E7-D197-4DA7-8185-ADC3C92C211D}">
  <ds:schemaRefs>
    <ds:schemaRef ds:uri="http://schemas.microsoft.com/sharepoint/v3/contenttype/forms"/>
  </ds:schemaRefs>
</ds:datastoreItem>
</file>

<file path=customXml/itemProps3.xml><?xml version="1.0" encoding="utf-8"?>
<ds:datastoreItem xmlns:ds="http://schemas.openxmlformats.org/officeDocument/2006/customXml" ds:itemID="{7FD3076E-6397-4DAC-A716-868229658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40473-7254-4dee-a68e-1aa7dfe87080"/>
    <ds:schemaRef ds:uri="219b1f8c-5713-414c-b63e-bc7010bca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Front Cover</vt:lpstr>
      <vt:lpstr>I. ESG Factors Report - FI (1)</vt:lpstr>
      <vt:lpstr>I. ESG Factors Report - FI (2)</vt:lpstr>
      <vt:lpstr>I. ESG Factors Report - FI (3)</vt:lpstr>
      <vt:lpstr>II. EU CTB &amp; PAB Report</vt:lpstr>
      <vt:lpstr>FAQs </vt:lpstr>
      <vt:lpstr>Index List</vt:lpstr>
      <vt:lpstr>Appendices</vt:lpstr>
      <vt:lpstr>General Disclaimer </vt:lpstr>
      <vt:lpstr>General Disclaimer</vt:lpstr>
      <vt:lpstr>Performance Disclosure</vt:lpstr>
      <vt:lpstr>Database - FI</vt:lpstr>
      <vt:lpstr>PAB_CTB_Database</vt:lpstr>
      <vt:lpstr>REF</vt:lpstr>
      <vt:lpstr>PAB+CTB LISTS</vt:lpstr>
      <vt:lpstr>Appendices!Print_Area</vt:lpstr>
      <vt:lpstr>'FAQs '!Print_Area</vt:lpstr>
      <vt:lpstr>'Front Cover'!Print_Area</vt:lpstr>
      <vt:lpstr>'General Disclaimer'!Print_Area</vt:lpstr>
      <vt:lpstr>'I. ESG Factors Report - FI (1)'!Print_Area</vt:lpstr>
      <vt:lpstr>'I. ESG Factors Report - FI (2)'!Print_Area</vt:lpstr>
      <vt:lpstr>'I. ESG Factors Report - FI (3)'!Print_Area</vt:lpstr>
      <vt:lpstr>'II. EU CTB &amp; PAB Report'!Print_Area</vt:lpstr>
      <vt:lpstr>'Index List'!Print_Area</vt:lpstr>
      <vt:lpstr>'Performance Disclosure'!Print_Area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Bowden, Narottama</dc:creator>
  <cp:keywords/>
  <dc:description/>
  <cp:lastModifiedBy>Rhodes, Hannah (Analytical)</cp:lastModifiedBy>
  <cp:revision/>
  <dcterms:created xsi:type="dcterms:W3CDTF">2023-01-20T18:27:45Z</dcterms:created>
  <dcterms:modified xsi:type="dcterms:W3CDTF">2024-12-20T16:10:02Z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4321fe-1db3-4305-a2cc-aad91140672d_Enabled">
    <vt:lpwstr>true</vt:lpwstr>
  </property>
  <property fmtid="{D5CDD505-2E9C-101B-9397-08002B2CF9AE}" pid="3" name="MSIP_Label_1e4321fe-1db3-4305-a2cc-aad91140672d_SetDate">
    <vt:lpwstr>2023-01-20T21:05:25Z</vt:lpwstr>
  </property>
  <property fmtid="{D5CDD505-2E9C-101B-9397-08002B2CF9AE}" pid="4" name="MSIP_Label_1e4321fe-1db3-4305-a2cc-aad91140672d_Method">
    <vt:lpwstr>Privileged</vt:lpwstr>
  </property>
  <property fmtid="{D5CDD505-2E9C-101B-9397-08002B2CF9AE}" pid="5" name="MSIP_Label_1e4321fe-1db3-4305-a2cc-aad91140672d_Name">
    <vt:lpwstr>External</vt:lpwstr>
  </property>
  <property fmtid="{D5CDD505-2E9C-101B-9397-08002B2CF9AE}" pid="6" name="MSIP_Label_1e4321fe-1db3-4305-a2cc-aad91140672d_SiteId">
    <vt:lpwstr>8f3e36ea-8039-4b40-81a7-7dc0599e8645</vt:lpwstr>
  </property>
  <property fmtid="{D5CDD505-2E9C-101B-9397-08002B2CF9AE}" pid="7" name="MSIP_Label_1e4321fe-1db3-4305-a2cc-aad91140672d_ActionId">
    <vt:lpwstr>1e2d7aa5-872f-4cb3-a35d-b8cce5d4af2d</vt:lpwstr>
  </property>
  <property fmtid="{D5CDD505-2E9C-101B-9397-08002B2CF9AE}" pid="8" name="MSIP_Label_1e4321fe-1db3-4305-a2cc-aad91140672d_ContentBits">
    <vt:lpwstr>0</vt:lpwstr>
  </property>
  <property fmtid="{D5CDD505-2E9C-101B-9397-08002B2CF9AE}" pid="9" name="ContentTypeId">
    <vt:lpwstr>0x010100BA41F65D8D85C643B279395178BBB636</vt:lpwstr>
  </property>
</Properties>
</file>